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XWSV9beIrxRul9PEqlEi9/pKVqx1r1QAsRsl37lJdydWKpn8RGUwriL0MmQDQeK9FKzR+4zycTno4jDpK3ltg==" workbookSaltValue="F0xJX26Hxa/P06j/tQez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BH19" i="13"/>
  <c r="EP19" i="8"/>
  <c r="EP19" i="19"/>
  <c r="AT17" i="20"/>
  <c r="AL9" i="11"/>
  <c r="F9" i="2"/>
  <c r="N13" i="2"/>
  <c r="T13" i="12"/>
  <c r="T13" i="16"/>
  <c r="T13" i="20"/>
  <c r="BB13" i="13"/>
  <c r="BF9" i="8"/>
  <c r="J18" i="17"/>
  <c r="BG15" i="13"/>
  <c r="BA18" i="13"/>
  <c r="BE15" i="13"/>
  <c r="AH20" i="20"/>
  <c r="AL20" i="20"/>
  <c r="AB20" i="20"/>
  <c r="AN20" i="20"/>
  <c r="Y20" i="20"/>
  <c r="U10" i="11"/>
  <c r="AO20" i="20"/>
  <c r="C17" i="6" l="1"/>
  <c r="AY18" i="8"/>
  <c r="R19" i="8"/>
  <c r="T19" i="8"/>
  <c r="D13" i="7"/>
  <c r="BD12" i="8"/>
  <c r="AC10" i="11"/>
  <c r="D10" i="6"/>
  <c r="H13" i="12"/>
  <c r="H12" i="7"/>
  <c r="AO12" i="11"/>
  <c r="AL12" i="11"/>
  <c r="E12" i="6"/>
  <c r="R8" i="9"/>
  <c r="X12" i="21" s="1"/>
  <c r="B10" i="6"/>
  <c r="H12" i="2"/>
  <c r="AY13" i="8"/>
  <c r="L9" i="14"/>
  <c r="C10" i="6"/>
  <c r="AY13" i="13"/>
  <c r="BG15" i="8"/>
  <c r="K15" i="7" s="1"/>
  <c r="BD16" i="8"/>
  <c r="H16" i="7" s="1"/>
  <c r="AO17" i="11"/>
  <c r="L16" i="14"/>
  <c r="L17" i="14"/>
  <c r="F15" i="17"/>
  <c r="AQ15" i="17" s="1"/>
  <c r="L12" i="14"/>
  <c r="BA13" i="13"/>
  <c r="T17" i="11"/>
  <c r="BH9" i="16"/>
  <c r="BJ17" i="11"/>
  <c r="BH15" i="16"/>
  <c r="V11" i="16"/>
  <c r="BF16" i="11"/>
  <c r="BL12" i="11"/>
  <c r="BK11" i="11"/>
  <c r="BM12" i="11"/>
  <c r="BI15" i="11"/>
  <c r="BJ12" i="11"/>
  <c r="BG15" i="1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U9" i="17"/>
  <c r="U19" i="17" s="1"/>
  <c r="BL16" i="11"/>
  <c r="AQ12" i="21"/>
  <c r="BG16" i="11"/>
  <c r="BK16" i="11"/>
  <c r="AQ10" i="21"/>
  <c r="BH10" i="11"/>
  <c r="BG12" i="11"/>
  <c r="V12" i="16"/>
  <c r="U10" i="17"/>
  <c r="BV11" i="16"/>
  <c r="BV12" i="16"/>
  <c r="BV17"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K9" i="12" s="1"/>
  <c r="H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8" i="2" l="1"/>
  <c r="C13" i="6"/>
  <c r="F13" i="2"/>
  <c r="BG13" i="13"/>
  <c r="R17" i="20"/>
  <c r="R18" i="20" s="1"/>
  <c r="AP15" i="20"/>
  <c r="BJ15" i="11"/>
  <c r="BJ18" i="11" s="1"/>
  <c r="BH9" i="11"/>
  <c r="AP10" i="21"/>
  <c r="V17" i="16"/>
  <c r="S17" i="16"/>
  <c r="S18" i="16" s="1"/>
  <c r="S19" i="16" s="1"/>
  <c r="BF17" i="11"/>
  <c r="Q17" i="20"/>
  <c r="Q18" i="20" s="1"/>
  <c r="BH15" i="11"/>
  <c r="V15" i="11"/>
  <c r="AP16" i="20"/>
  <c r="Q17" i="17"/>
  <c r="BU10" i="17"/>
  <c r="BW11" i="20"/>
  <c r="BU12" i="17"/>
  <c r="AZ12" i="11"/>
  <c r="BI9" i="11"/>
  <c r="BH11" i="11"/>
  <c r="BJ16" i="11"/>
  <c r="L9" i="2"/>
  <c r="BW12" i="20"/>
  <c r="BW10" i="20"/>
  <c r="BJ10" i="11"/>
  <c r="BH16" i="11"/>
  <c r="L16" i="2"/>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X20" i="21"/>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W20" i="17"/>
  <c r="AO20" i="1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P20" i="16"/>
  <c r="N20" i="16"/>
  <c r="AG20" i="21"/>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<sst xmlns="http://schemas.openxmlformats.org/spreadsheetml/2006/main" count="2102" uniqueCount="916">
  <si>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</si>
  <si>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</si>
  <si>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</si>
  <si>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</si>
  <si>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</si>
  <si>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</si>
  <si>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</si>
  <si>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</si>
  <si>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</si>
  <si>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</si>
  <si>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</si>
  <si>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</si>
  <si>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</si>
  <si>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</si>
  <si>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</si>
  <si>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</si>
  <si>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</si>
  <si>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</si>
  <si>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</si>
  <si>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</si>
  <si>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</si>
  <si>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</si>
  <si>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</si>
  <si>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</si>
  <si>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</si>
  <si>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</si>
  <si>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</si>
  <si>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</si>
  <si>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</si>
  <si>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</si>
  <si>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</si>
  <si>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</si>
  <si>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</si>
  <si>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</si>
  <si>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</si>
  <si>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</si>
  <si>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</si>
  <si>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</si>
  <si>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</si>
  <si>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</si>
  <si>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</si>
  <si>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</si>
  <si>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</si>
  <si>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</si>
  <si>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</si>
  <si>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</si>
  <si>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</si>
  <si>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</si>
  <si>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</si>
  <si>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</si>
  <si>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</si>
  <si>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</si>
  <si>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</si>
  <si>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</si>
  <si>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</si>
  <si>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</si>
  <si>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</si>
  <si>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</si>
  <si>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</si>
  <si>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</si>
  <si>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</si>
  <si>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</si>
  <si>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</si>
  <si>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</si>
  <si>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</si>
  <si>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</si>
  <si>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</si>
  <si>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</si>
  <si>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</si>
  <si>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</si>
  <si>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</si>
  <si>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</si>
  <si>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</si>
  <si>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</si>
  <si>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</si>
  <si>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</si>
  <si>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</si>
  <si>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</si>
  <si>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</si>
  <si>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</si>
  <si>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</si>
  <si>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</si>
  <si>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</si>
  <si>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</si>
  <si>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</si>
  <si>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</si>
  <si>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</si>
  <si>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</si>
  <si>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</si>
  <si>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</si>
  <si>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</si>
  <si>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</si>
  <si>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</si>
  <si>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</si>
  <si>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</si>
  <si>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</si>
  <si>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</si>
  <si>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</si>
  <si>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</si>
  <si>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</si>
  <si>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</si>
  <si>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</si>
  <si>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</si>
  <si>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</si>
  <si>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</si>
  <si>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</si>
  <si>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</si>
  <si>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</si>
  <si>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</si>
  <si>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</si>
  <si>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</si>
  <si>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</si>
  <si>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</si>
  <si>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</si>
  <si>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</si>
  <si>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</si>
  <si>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</si>
  <si>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</si>
  <si>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</si>
  <si>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</si>
  <si>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</si>
  <si>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</si>
  <si>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</si>
  <si>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</si>
  <si>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</si>
  <si>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</si>
  <si>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</si>
  <si>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</si>
  <si>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</si>
  <si>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</si>
  <si>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</si>
  <si>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</si>
  <si>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</si>
  <si>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</si>
  <si>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</si>
  <si>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</si>
  <si>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</si>
  <si>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</si>
  <si>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</si>
  <si>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</si>
  <si>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</si>
  <si>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</si>
  <si>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</si>
  <si>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</si>
  <si>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</si>
  <si>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</si>
  <si>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</si>
  <si>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</si>
  <si>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</si>
  <si>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</si>
  <si>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</si>
  <si>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</si>
  <si>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</si>
  <si>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</si>
  <si>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</si>
  <si>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</si>
  <si>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</si>
  <si>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</si>
  <si>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</si>
  <si>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</si>
  <si>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</si>
  <si>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</si>
  <si>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</si>
  <si>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</si>
  <si>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</si>
  <si>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</si>
  <si>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</si>
  <si>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</si>
  <si>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</si>
  <si>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</si>
  <si>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</si>
  <si>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</si>
  <si>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</si>
  <si>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</si>
  <si>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</si>
  <si>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</si>
  <si>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</si>
  <si>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</si>
  <si>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</si>
  <si>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</si>
  <si>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</si>
  <si>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</si>
  <si>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</si>
  <si>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</si>
  <si>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</si>
  <si>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</si>
  <si>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</si>
  <si>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</si>
  <si>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</si>
  <si>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</si>
  <si>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</si>
  <si>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</si>
  <si>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</si>
  <si>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</si>
  <si>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</si>
  <si>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</si>
  <si>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</si>
  <si>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</si>
  <si>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</si>
  <si>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</si>
  <si>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</si>
  <si>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</si>
  <si>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</si>
  <si>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</si>
  <si>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</si>
  <si>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</si>
  <si>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</si>
  <si>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</si>
  <si>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</si>
  <si>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</si>
  <si>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</si>
  <si>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</si>
  <si>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</si>
  <si>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</si>
  <si>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</si>
  <si>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</si>
  <si>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</si>
  <si>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</si>
  <si>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</si>
  <si>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</si>
  <si>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</si>
  <si>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</si>
  <si>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</si>
  <si>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</si>
  <si>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</si>
  <si>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</si>
  <si>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</si>
  <si>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</si>
  <si>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</si>
  <si>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</si>
  <si>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</si>
  <si>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</si>
  <si>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</si>
  <si>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</si>
  <si>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</si>
  <si>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</si>
  <si>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</si>
  <si>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</si>
  <si>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</si>
  <si>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</si>
  <si>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</si>
  <si>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</si>
  <si>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</si>
  <si>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</si>
  <si>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</si>
  <si>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</si>
  <si>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</si>
  <si>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</si>
  <si>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</si>
  <si>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</si>
  <si>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</si>
  <si>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</si>
  <si>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</si>
  <si>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</si>
  <si>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</si>
  <si>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</si>
  <si>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</si>
  <si>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</si>
  <si>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</si>
  <si>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</si>
  <si>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</si>
  <si>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</si>
  <si>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</si>
  <si>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</si>
  <si>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</si>
  <si>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</si>
  <si>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</si>
  <si>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</si>
  <si>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</si>
  <si>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</si>
  <si>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</si>
  <si>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</si>
  <si>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</si>
  <si>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</si>
  <si>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</si>
  <si>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</si>
  <si>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</si>
  <si>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</si>
  <si>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</si>
  <si>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</si>
  <si>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</si>
  <si>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</si>
  <si>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</si>
  <si>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</si>
  <si>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</si>
  <si>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</si>
  <si>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</si>
  <si>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</si>
  <si>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</si>
  <si>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</si>
  <si>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</si>
  <si>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</si>
  <si>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</si>
  <si>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</si>
  <si>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</si>
  <si>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</si>
  <si>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</si>
  <si>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</si>
  <si>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</si>
  <si>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</si>
  <si>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</si>
  <si>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</si>
  <si>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</si>
  <si>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</si>
  <si>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</si>
  <si>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</si>
  <si>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</si>
  <si>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</si>
  <si>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</si>
  <si>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</si>
  <si>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</si>
  <si>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</si>
  <si>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</si>
  <si>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</si>
  <si>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</si>
  <si>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</si>
  <si>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</si>
  <si>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</si>
  <si>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</si>
  <si>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</si>
  <si>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</si>
  <si>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</si>
  <si>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</si>
  <si>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</si>
  <si>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</si>
  <si>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</si>
  <si>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</si>
  <si>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</si>
  <si>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</si>
  <si>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</si>
  <si>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</si>
  <si>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</si>
  <si>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</si>
  <si>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</si>
  <si>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</si>
  <si>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</si>
  <si>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</si>
  <si>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</si>
  <si>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</si>
  <si>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</si>
  <si>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</si>
  <si>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</si>
  <si>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</si>
  <si>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</si>
  <si>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</si>
  <si>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</si>
  <si>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</si>
  <si>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</si>
  <si>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</si>
  <si>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</si>
  <si>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</si>
  <si>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</si>
  <si>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</si>
  <si>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</si>
  <si>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</si>
  <si>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</si>
  <si>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</si>
  <si>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</si>
  <si>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</si>
  <si>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</si>
  <si>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</si>
  <si>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</si>
  <si>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</si>
  <si>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</si>
  <si>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</si>
  <si>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</si>
  <si>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</si>
  <si>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</si>
  <si>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</si>
  <si>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</si>
  <si>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</si>
  <si>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</si>
  <si>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</si>
  <si>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</si>
  <si>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</si>
  <si>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</si>
  <si>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</si>
  <si>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</si>
  <si>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</si>
  <si>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</si>
  <si>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</si>
  <si>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</si>
  <si>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</si>
  <si>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</si>
  <si>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</si>
  <si>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</si>
  <si>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</si>
  <si>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</si>
  <si>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</si>
  <si>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</si>
  <si>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</si>
  <si>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</si>
  <si>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</si>
  <si>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</si>
  <si>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</si>
  <si>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</si>
  <si>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</si>
  <si>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</si>
  <si>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</si>
  <si>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</si>
  <si>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</si>
  <si>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</si>
  <si>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</si>
  <si>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</si>
  <si>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</si>
  <si>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</si>
  <si>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</si>
  <si>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</si>
  <si>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</si>
  <si>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</si>
  <si>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</si>
  <si>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</si>
  <si>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</si>
  <si>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</si>
  <si>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</si>
  <si>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</si>
  <si>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</si>
  <si>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</si>
  <si>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</si>
  <si>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</si>
  <si>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</si>
  <si>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</si>
  <si>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</si>
  <si>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</si>
  <si>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</si>
  <si>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</si>
  <si>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</si>
  <si>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</si>
  <si>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</si>
  <si>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</si>
  <si>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</si>
  <si>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</si>
  <si>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</si>
  <si>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</si>
  <si>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</si>
  <si>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</si>
  <si>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</si>
  <si>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</si>
  <si>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</si>
  <si>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</si>
  <si>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</si>
  <si>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</si>
  <si>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</si>
  <si>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</si>
  <si>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</si>
  <si>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</si>
  <si>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</si>
  <si>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</si>
  <si>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</si>
  <si>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</si>
  <si>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</si>
  <si>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</si>
  <si>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</si>
  <si>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</si>
  <si>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</si>
  <si>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</si>
  <si>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</si>
  <si>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</si>
  <si>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</si>
  <si>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</si>
  <si>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</si>
  <si>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</si>
  <si>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</si>
  <si>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</si>
  <si>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</si>
  <si>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</si>
  <si>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</si>
  <si>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</si>
  <si>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</si>
  <si>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</si>
  <si>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</si>
  <si>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</si>
  <si>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</si>
  <si>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</si>
  <si>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</si>
  <si>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</si>
  <si>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</si>
  <si>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</si>
  <si>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</si>
  <si>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</si>
  <si>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</si>
  <si>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</si>
  <si>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</si>
  <si>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</si>
  <si>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</si>
  <si>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</si>
  <si>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</si>
  <si>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</si>
  <si>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</si>
  <si>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</si>
  <si>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</si>
  <si>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</si>
  <si>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</si>
  <si>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</si>
  <si>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</si>
  <si>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</si>
  <si>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</si>
  <si>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</si>
  <si>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</si>
  <si>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</si>
  <si>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</si>
  <si>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</si>
  <si>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</si>
  <si>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</si>
  <si>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</si>
  <si>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</si>
  <si>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</si>
  <si>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</si>
  <si>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</si>
  <si>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</si>
  <si>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</si>
  <si>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</si>
  <si>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</si>
  <si>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</si>
  <si>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</si>
  <si>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</si>
  <si>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</si>
  <si>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</si>
  <si>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</si>
  <si>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</si>
  <si>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</si>
  <si>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</si>
  <si>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</si>
  <si>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</si>
  <si>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</si>
  <si>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</si>
  <si>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</si>
  <si>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</si>
  <si>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</si>
  <si>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</si>
  <si>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</si>
  <si>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</si>
  <si>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</si>
  <si>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</si>
  <si>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</si>
  <si>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</si>
  <si>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</si>
  <si>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</si>
  <si>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</si>
  <si>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</si>
  <si>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</si>
  <si>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</si>
  <si>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</si>
  <si>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</si>
  <si>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</si>
  <si>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</si>
  <si>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</si>
  <si>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</si>
  <si>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</si>
  <si>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</si>
  <si>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</si>
  <si>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</si>
  <si>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</si>
  <si>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</si>
  <si>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</si>
  <si>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</si>
  <si>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</si>
  <si>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</si>
  <si>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</si>
  <si>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</si>
  <si>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</si>
  <si>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</si>
  <si>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</si>
  <si>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</si>
  <si>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</si>
  <si>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</si>
  <si>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</si>
  <si>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</si>
  <si>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</si>
  <si>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</si>
  <si>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</si>
  <si>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</si>
  <si>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</si>
  <si>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</si>
  <si>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</si>
  <si>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</si>
  <si>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</si>
  <si>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</si>
  <si>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</si>
  <si>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</si>
  <si>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</si>
  <si>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</si>
  <si>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</si>
  <si>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</si>
  <si>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</si>
  <si>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</si>
  <si>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</si>
  <si>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</si>
  <si>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</si>
  <si>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</si>
  <si>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</si>
  <si>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</si>
  <si>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</si>
  <si>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</si>
  <si>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</si>
  <si>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</si>
  <si>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</si>
  <si>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</si>
  <si>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</si>
  <si>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</si>
  <si>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</si>
  <si>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</si>
  <si>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</si>
  <si>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</si>
  <si>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</si>
  <si>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</si>
  <si>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</si>
  <si>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</si>
  <si>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</si>
  <si>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</si>
  <si>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</si>
  <si>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</si>
  <si>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</si>
  <si>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</si>
  <si>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</si>
  <si>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</si>
  <si>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</si>
  <si>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</si>
  <si>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</si>
  <si>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</si>
  <si>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</si>
  <si>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</si>
  <si>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</si>
  <si>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</si>
  <si>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</si>
  <si>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</si>
  <si>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</si>
  <si>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</si>
  <si>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</si>
  <si>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</si>
  <si>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</si>
  <si>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</si>
  <si>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</si>
  <si>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</si>
  <si>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</si>
  <si>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</si>
  <si>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</si>
  <si>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</si>
  <si>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</si>
  <si>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</si>
  <si>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</si>
  <si>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</si>
  <si>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</si>
  <si>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</si>
  <si>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</si>
  <si>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</si>
  <si>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</si>
  <si>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</si>
  <si>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</si>
  <si>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</si>
  <si>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</si>
  <si>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</si>
  <si>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</si>
  <si>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</si>
  <si>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</si>
  <si>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</si>
  <si>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</si>
  <si>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</si>
  <si>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</si>
  <si>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</si>
  <si>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</si>
  <si>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</si>
  <si>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</si>
  <si>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</si>
  <si>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</si>
  <si>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</si>
  <si>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</si>
  <si>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</si>
  <si>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</si>
  <si>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</si>
  <si>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</si>
  <si>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</si>
  <si>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</si>
  <si>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</si>
  <si>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</si>
  <si>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</si>
  <si>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</si>
  <si>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</si>
  <si>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</si>
  <si>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</si>
  <si>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</si>
  <si>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</si>
  <si>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</si>
  <si>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</si>
  <si>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</si>
  <si>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</si>
  <si>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</si>
  <si>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</si>
  <si>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</si>
  <si>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</si>
  <si>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</si>
  <si>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</si>
  <si>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</si>
  <si>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</si>
  <si>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</si>
  <si>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</si>
  <si>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</si>
  <si>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</si>
  <si>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</si>
  <si>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</si>
  <si>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</si>
  <si>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</si>
  <si>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</si>
  <si>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</si>
  <si>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</si>
  <si>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</si>
  <si>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</si>
  <si>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</si>
  <si>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</si>
  <si>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</si>
  <si>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</si>
  <si>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</si>
  <si>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</si>
  <si>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</si>
  <si>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</si>
  <si>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</si>
  <si>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</si>
  <si>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</si>
  <si>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</si>
  <si>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</si>
  <si>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</si>
  <si>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</si>
  <si>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</si>
  <si>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</si>
  <si>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</si>
  <si>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</si>
  <si>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</si>
  <si>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</si>
  <si>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</si>
  <si>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</si>
  <si>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</si>
  <si>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</si>
  <si>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</si>
  <si>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</si>
  <si>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</si>
  <si>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</si>
  <si>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</si>
  <si>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</si>
  <si>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</si>
  <si>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</si>
  <si>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</si>
  <si>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</si>
  <si>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</si>
  <si>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</si>
  <si>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</si>
  <si>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</si>
  <si>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</si>
  <si>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</si>
  <si>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</si>
  <si>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</si>
  <si>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</si>
  <si>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</si>
  <si>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</si>
  <si>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</si>
  <si>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</si>
  <si>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</si>
  <si>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</si>
  <si>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</si>
  <si>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</si>
  <si>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</si>
  <si>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</si>
  <si>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</si>
  <si>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</si>
  <si>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</si>
  <si>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</si>
  <si>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</si>
  <si>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</si>
  <si>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</si>
  <si>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</si>
  <si>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</si>
  <si>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</si>
  <si>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</si>
  <si>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</si>
  <si>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</si>
  <si>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</si>
  <si>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</si>
  <si>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</si>
  <si>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</si>
  <si>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</si>
  <si>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</si>
  <si>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</si>
  <si>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</si>
  <si>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</si>
  <si>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</si>
  <si>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</si>
  <si>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</si>
  <si>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</si>
  <si>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</si>
  <si>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</si>
  <si>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</si>
  <si>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</si>
  <si>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</si>
  <si>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</si>
  <si>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</si>
  <si>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</si>
  <si>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</si>
  <si>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</si>
  <si>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</si>
  <si>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</si>
  <si>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</si>
  <si>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</si>
  <si>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</si>
  <si>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</si>
  <si>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</si>
  <si>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</si>
  <si>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</si>
  <si>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</si>
  <si>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</si>
  <si>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</si>
  <si>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</si>
  <si>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</si>
  <si>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</si>
  <si>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</si>
  <si>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</si>
  <si>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</si>
  <si>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</si>
  <si>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</si>
  <si>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</si>
  <si>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</si>
  <si>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</si>
  <si>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</si>
  <si>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</si>
  <si>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</si>
  <si>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</si>
  <si>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</si>
  <si>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</si>
  <si>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</si>
  <si>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</si>
  <si>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</si>
  <si>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</si>
  <si>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</si>
  <si>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</si>
  <si>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</si>
  <si>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</si>
  <si>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</si>
  <si>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</si>
  <si>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</si>
  <si>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</si>
  <si>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</si>
  <si>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</si>
  <si>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</si>
  <si>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</si>
  <si>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</si>
  <si>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</si>
  <si>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</si>
  <si>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</si>
  <si>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</si>
  <si>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</si>
  <si>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</si>
  <si>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</si>
  <si>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</si>
  <si>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</si>
  <si>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</si>
  <si>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</si>
  <si>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</si>
  <si>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</si>
  <si>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</si>
  <si>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</si>
  <si>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</si>
  <si>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</si>
  <si>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</si>
  <si>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</si>
  <si>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</si>
  <si>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</si>
  <si>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</si>
  <si>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</si>
  <si>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</si>
  <si>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</si>
  <si>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</si>
  <si>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</si>
  <si>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</si>
  <si>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</si>
  <si>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</si>
  <si>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</si>
  <si>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</si>
  <si>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</si>
  <si>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</si>
  <si>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</si>
  <si>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</si>
  <si>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</si>
  <si>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</si>
  <si>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</si>
  <si>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</si>
  <si>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</si>
  <si>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</si>
  <si>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</si>
  <si>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</si>
  <si>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</si>
  <si>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</si>
  <si>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</si>
  <si>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</si>
  <si>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</si>
  <si>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</si>
  <si>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</si>
  <si>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</si>
  <si>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</si>
  <si>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</si>
  <si>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</si>
  <si>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</si>
  <si>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</si>
  <si>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</si>
  <si>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</si>
  <si>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</si>
  <si>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</si>
  <si>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</si>
  <si>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</si>
  <si>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</si>
  <si>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</si>
  <si>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</si>
  <si>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</si>
  <si>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</si>
  <si>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</si>
  <si>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</si>
  <si>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</si>
  <si>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</si>
  <si>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COLLADO VILLALBA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</si>
</sst>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9sYiZVHib5bHWTawgMh4yOLPpN5PakqEnCO97ekrfbKP8b1Q/KfW58/rG0ZHgfvffue37WBN9Dx7k+M5xqHDQ==" saltValue="KzQaqJ7ipN2kam95q0E7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35</v>
      </c>
      <c r="D10" s="225">
        <f>IF(ISNUMBER(Datos!I10),Datos!I10," - ")</f>
        <v>35</v>
      </c>
      <c r="E10" s="226">
        <f>IF(ISNUMBER(Datos!J10),Datos!J10," - ")</f>
        <v>27</v>
      </c>
      <c r="F10" s="226">
        <f>IF(ISNUMBER(Datos!K10),Datos!K10," - ")</f>
        <v>25</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5.7142857142857141E-2</v>
      </c>
      <c r="L10" s="1025">
        <f>IF(ISNUMBER(NºAsuntos!I10/NºAsuntos!G10),(NºAsuntos!I10/NºAsuntos!G10)*11," - ")</f>
        <v>16.28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26.342190729258931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v>
      </c>
      <c r="D13" s="1049">
        <f>SUBTOTAL(9,D9:D12)</f>
        <v>35</v>
      </c>
      <c r="E13" s="1050">
        <f>SUBTOTAL(9,E9:E12)</f>
        <v>27</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1698</v>
      </c>
      <c r="D16" s="225">
        <f>IF(ISNUMBER(IF(D_I="SI",Datos!I16,Datos!I16+Datos!AC16)),IF(D_I="SI",Datos!I16,Datos!I16+Datos!AC16)," - ")</f>
        <v>1747</v>
      </c>
      <c r="E16" s="226">
        <f>IF(ISNUMBER(IF(D_I="SI",Datos!J16,Datos!J16+Datos!AD16)),IF(D_I="SI",Datos!J16,Datos!J16+Datos!AD16)," - ")</f>
        <v>1726</v>
      </c>
      <c r="F16" s="226">
        <f>IF(ISNUMBER(IF(D_I="SI",Datos!K16,Datos!K16+Datos!AE16)),IF(D_I="SI",Datos!K16,Datos!K16+Datos!AE16)," - ")</f>
        <v>1724</v>
      </c>
      <c r="G16" s="1034" t="str">
        <f>IF(Datos!E16&lt;&gt;"",Datos!E16,Datos!D16)</f>
        <v>04</v>
      </c>
      <c r="H16" s="227">
        <f>IF(ISNUMBER(IF(D_I="SI",Datos!L16,Datos!L16+Datos!AF16)),IF(D_I="SI",Datos!L16,Datos!L16+Datos!AF16)," - ")</f>
        <v>1700</v>
      </c>
      <c r="I16" s="1044" t="str">
        <f>IF(ISNUMBER(Datos!AS16/Datos!BM16),Datos!AS16/Datos!BM16," - ")</f>
        <v xml:space="preserve"> - </v>
      </c>
      <c r="J16" s="1045">
        <f>IF(ISNUMBER(Datos!BY16/Datos!CN16),Datos!BY16/Datos!CN16," - ")</f>
        <v>0</v>
      </c>
      <c r="K16" s="230">
        <f t="shared" si="3"/>
        <v>1.1778563015312131E-3</v>
      </c>
      <c r="L16" s="1025">
        <f>IF(ISNUMBER(NºAsuntos!I16/NºAsuntos!G16),(NºAsuntos!I16/NºAsuntos!G16)*11," - ")</f>
        <v>10.846867749419953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80</v>
      </c>
      <c r="D17" s="225">
        <f>IF(ISNUMBER(IF(D_I="SI",Datos!I17,Datos!I17+Datos!AC17)),IF(D_I="SI",Datos!I17,Datos!I17+Datos!AC17)," - ")</f>
        <v>80</v>
      </c>
      <c r="E17" s="226">
        <f>IF(ISNUMBER(IF(D_I="SI",Datos!J17,Datos!J17+Datos!AD17)),IF(D_I="SI",Datos!J17,Datos!J17+Datos!AD17)," - ")</f>
        <v>250</v>
      </c>
      <c r="F17" s="226">
        <f>IF(ISNUMBER(IF(D_I="SI",Datos!K17,Datos!K17+Datos!AE17)),IF(D_I="SI",Datos!K17,Datos!K17+Datos!AE17)," - ")</f>
        <v>259</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-0.1125</v>
      </c>
      <c r="L17" s="1025">
        <f>IF(ISNUMBER(NºAsuntos!I17/NºAsuntos!G17),(NºAsuntos!I17/NºAsuntos!G17)*11," - ")</f>
        <v>3.0154440154440154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1778</v>
      </c>
      <c r="D18" s="1049">
        <f>SUBTOTAL(9,D15:D17)</f>
        <v>1827</v>
      </c>
      <c r="E18" s="1050">
        <f>SUBTOTAL(9,E15:E17)</f>
        <v>1976</v>
      </c>
      <c r="F18" s="1050">
        <f>SUBTOTAL(9,F15:F17)</f>
        <v>1983</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1813</v>
      </c>
      <c r="D19" s="1071">
        <f>SUBTOTAL(9,D9:D18)</f>
        <v>1862</v>
      </c>
      <c r="E19" s="1072">
        <f>SUBTOTAL(9,E9:E18)</f>
        <v>2003</v>
      </c>
      <c r="F19" s="1072">
        <f>SUBTOTAL(9,F9:F18)</f>
        <v>2008</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eMxjYkmKWT08picv7UAfbyyC60M7UqpolNKZChodCknsqAt6OtevT/M3YMBDne4dHjCg6VMHt+lRE4vjWbpeQ==" saltValue="AtTzfjuqm+6nfxCb1Tt1S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OTQP1x6dWP66gb7yDS7IMbHPsdlK/nK6M9Z3O/CyQvMiINBQKlEUCZPeBeyVbbnIOmg0nVU46ybJnoOZKKSA==" saltValue="9StbvCYWy1DVq0yIhm2N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27</v>
      </c>
      <c r="K10" s="181">
        <v>25</v>
      </c>
      <c r="L10" s="181">
        <v>37</v>
      </c>
      <c r="M10" s="181">
        <v>16</v>
      </c>
      <c r="N10" s="181">
        <v>9</v>
      </c>
      <c r="O10" s="181">
        <v>3</v>
      </c>
      <c r="P10" s="181">
        <v>10</v>
      </c>
      <c r="Q10" s="181">
        <v>2</v>
      </c>
      <c r="R10" s="181">
        <v>82</v>
      </c>
      <c r="S10" s="181">
        <v>42</v>
      </c>
      <c r="T10" s="181">
        <v>16</v>
      </c>
      <c r="U10" s="181">
        <v>22</v>
      </c>
      <c r="V10" s="181">
        <v>36</v>
      </c>
      <c r="W10" s="181">
        <v>9</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42</v>
      </c>
      <c r="AZ10" s="129">
        <f t="shared" si="0"/>
        <v>16</v>
      </c>
      <c r="BA10" s="129">
        <f t="shared" si="0"/>
        <v>22</v>
      </c>
      <c r="BB10" s="129">
        <f t="shared" si="0"/>
        <v>36</v>
      </c>
      <c r="BC10" s="125">
        <f t="shared" si="0"/>
        <v>9</v>
      </c>
      <c r="BD10" s="126">
        <f>IF(ISNUMBER(BA10/AZ10),BA10/AZ10," - ")</f>
        <v>1.375</v>
      </c>
      <c r="BE10" s="127">
        <f>IF(ISNUMBER(BB10/BA10),BB10/BA10, " - ")</f>
        <v>1.6363636363636365</v>
      </c>
      <c r="BF10" s="127">
        <f>IF(ISNUMBER(BC10/BA10),BC10/BA10, " - ")</f>
        <v>0.40909090909090912</v>
      </c>
      <c r="BG10" s="196">
        <f>IF(ISNUMBER((AY10+AZ10)/BA10),(AY10+AZ10)/BA10," - ")</f>
        <v>2.6363636363636362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7355</v>
      </c>
      <c r="J12" s="183">
        <v>3954</v>
      </c>
      <c r="K12" s="183">
        <v>3054</v>
      </c>
      <c r="L12" s="183">
        <v>8056</v>
      </c>
      <c r="M12" s="183">
        <v>430</v>
      </c>
      <c r="N12" s="183">
        <v>2478</v>
      </c>
      <c r="O12" s="181">
        <v>634</v>
      </c>
      <c r="P12" s="183">
        <v>349</v>
      </c>
      <c r="Q12" s="183">
        <v>328</v>
      </c>
      <c r="R12" s="183">
        <v>7930</v>
      </c>
      <c r="S12" s="183">
        <v>6333</v>
      </c>
      <c r="T12" s="183">
        <v>2186</v>
      </c>
      <c r="U12" s="183">
        <v>2385</v>
      </c>
      <c r="V12" s="183">
        <v>6136</v>
      </c>
      <c r="W12" s="183">
        <v>360</v>
      </c>
      <c r="X12" s="189">
        <v>1782</v>
      </c>
      <c r="Y12" s="191">
        <v>77</v>
      </c>
      <c r="Z12" s="181">
        <v>345</v>
      </c>
      <c r="AA12" s="181">
        <v>333</v>
      </c>
      <c r="AB12" s="181">
        <v>55</v>
      </c>
      <c r="AC12" s="183">
        <v>0</v>
      </c>
      <c r="AD12" s="183">
        <v>0</v>
      </c>
      <c r="AE12" s="183">
        <v>0</v>
      </c>
      <c r="AF12" s="189">
        <v>0</v>
      </c>
      <c r="AG12" s="202">
        <v>137</v>
      </c>
      <c r="AH12" s="183">
        <v>287</v>
      </c>
      <c r="AI12" s="183">
        <v>291</v>
      </c>
      <c r="AJ12" s="203">
        <v>133</v>
      </c>
      <c r="AK12" s="182">
        <v>0</v>
      </c>
      <c r="AL12" s="183">
        <v>0</v>
      </c>
      <c r="AM12" s="183">
        <v>0</v>
      </c>
      <c r="AN12" s="189">
        <v>0</v>
      </c>
      <c r="AO12" s="259">
        <v>8</v>
      </c>
      <c r="AP12" s="155">
        <v>8</v>
      </c>
      <c r="AQ12" s="155">
        <v>8</v>
      </c>
      <c r="AR12" s="154">
        <v>8</v>
      </c>
      <c r="AS12" s="340" t="s">
        <v>801</v>
      </c>
      <c r="AT12" s="203"/>
      <c r="AU12" s="202"/>
      <c r="AV12" s="203"/>
      <c r="AW12" s="202"/>
      <c r="AX12" s="203"/>
      <c r="AY12" s="126">
        <f t="shared" si="1"/>
        <v>6470</v>
      </c>
      <c r="AZ12" s="127">
        <f t="shared" si="1"/>
        <v>2473</v>
      </c>
      <c r="BA12" s="127">
        <f t="shared" si="1"/>
        <v>2676</v>
      </c>
      <c r="BB12" s="127">
        <f t="shared" si="1"/>
        <v>6269</v>
      </c>
      <c r="BC12" s="125">
        <f>IF(ISNUMBER(X12),X12," - ")</f>
        <v>1782</v>
      </c>
      <c r="BD12" s="126">
        <f t="shared" si="2"/>
        <v>1.0820865345733925</v>
      </c>
      <c r="BE12" s="127">
        <f t="shared" si="3"/>
        <v>2.3426756352765321</v>
      </c>
      <c r="BF12" s="127">
        <f t="shared" si="4"/>
        <v>0.6659192825112108</v>
      </c>
      <c r="BG12" s="196">
        <f t="shared" si="5"/>
        <v>3.3419282511210762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7390</v>
      </c>
      <c r="J13" s="184">
        <f t="shared" si="6"/>
        <v>3981</v>
      </c>
      <c r="K13" s="184">
        <f t="shared" si="6"/>
        <v>3079</v>
      </c>
      <c r="L13" s="184">
        <f t="shared" si="6"/>
        <v>8093</v>
      </c>
      <c r="M13" s="184">
        <f t="shared" si="6"/>
        <v>446</v>
      </c>
      <c r="N13" s="184">
        <f t="shared" si="6"/>
        <v>2487</v>
      </c>
      <c r="O13" s="184">
        <f t="shared" si="6"/>
        <v>637</v>
      </c>
      <c r="P13" s="184">
        <f t="shared" si="6"/>
        <v>359</v>
      </c>
      <c r="Q13" s="184">
        <f t="shared" si="6"/>
        <v>330</v>
      </c>
      <c r="R13" s="184">
        <f t="shared" si="6"/>
        <v>8012</v>
      </c>
      <c r="S13" s="184">
        <f t="shared" si="6"/>
        <v>6375</v>
      </c>
      <c r="T13" s="184">
        <f t="shared" si="6"/>
        <v>2202</v>
      </c>
      <c r="U13" s="184">
        <f t="shared" si="6"/>
        <v>2407</v>
      </c>
      <c r="V13" s="184">
        <f t="shared" si="6"/>
        <v>6172</v>
      </c>
      <c r="W13" s="184">
        <f t="shared" si="6"/>
        <v>369</v>
      </c>
      <c r="X13" s="184">
        <f t="shared" si="6"/>
        <v>1793</v>
      </c>
      <c r="Y13" s="184">
        <f t="shared" si="6"/>
        <v>77</v>
      </c>
      <c r="Z13" s="184">
        <f t="shared" si="6"/>
        <v>345</v>
      </c>
      <c r="AA13" s="184">
        <f t="shared" si="6"/>
        <v>333</v>
      </c>
      <c r="AB13" s="184">
        <f t="shared" si="6"/>
        <v>55</v>
      </c>
      <c r="AC13" s="184">
        <f t="shared" si="6"/>
        <v>0</v>
      </c>
      <c r="AD13" s="184">
        <f t="shared" si="6"/>
        <v>0</v>
      </c>
      <c r="AE13" s="184">
        <f t="shared" si="6"/>
        <v>0</v>
      </c>
      <c r="AF13" s="184">
        <f>SUBTOTAL(9,AF9:AF12)</f>
        <v>0</v>
      </c>
      <c r="AG13" s="184">
        <f t="shared" ref="AG13:AT13" si="7">SUBTOTAL(9,AG8:AG12)</f>
        <v>137</v>
      </c>
      <c r="AH13" s="184">
        <f t="shared" si="7"/>
        <v>287</v>
      </c>
      <c r="AI13" s="184">
        <f t="shared" si="7"/>
        <v>291</v>
      </c>
      <c r="AJ13" s="184">
        <f t="shared" si="7"/>
        <v>133</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6512</v>
      </c>
      <c r="AZ13" s="184">
        <f>SUBTOTAL(9,AZ8:AZ12)</f>
        <v>2489</v>
      </c>
      <c r="BA13" s="184">
        <f>SUBTOTAL(9,BA8:BA12)</f>
        <v>2698</v>
      </c>
      <c r="BB13" s="184">
        <f>SUBTOTAL(9,BB8:BB12)</f>
        <v>6305</v>
      </c>
      <c r="BC13" s="184">
        <f>SUBTOTAL(9,BC8:BC12)</f>
        <v>1791</v>
      </c>
      <c r="BD13" s="205">
        <f>IF(ISNUMBER(BA13/AZ13),BA13/AZ13," - ")</f>
        <v>1.083969465648855</v>
      </c>
      <c r="BE13" s="206">
        <f>IF(ISNUMBER(BB13/BA13),BB13/BA13, " - ")</f>
        <v>2.3369162342475907</v>
      </c>
      <c r="BF13" s="206">
        <f>IF(ISNUMBER(BC13/BA13),BC13/BA13, " - ")</f>
        <v>0.66382505559673832</v>
      </c>
      <c r="BG13" s="207">
        <f>IF(ISNUMBER((AY13+AZ13)/BA13),(AY13+AZ13)/BA13," - ")</f>
        <v>3.3361749444032616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1747</v>
      </c>
      <c r="J16" s="183">
        <v>1726</v>
      </c>
      <c r="K16" s="183">
        <v>1724</v>
      </c>
      <c r="L16" s="183">
        <v>1700</v>
      </c>
      <c r="M16" s="183">
        <v>225</v>
      </c>
      <c r="N16" s="183">
        <v>1006</v>
      </c>
      <c r="O16" s="181">
        <v>34</v>
      </c>
      <c r="P16" s="183">
        <v>95</v>
      </c>
      <c r="Q16" s="183">
        <v>52</v>
      </c>
      <c r="R16" s="183">
        <v>353</v>
      </c>
      <c r="S16" s="183">
        <v>1846</v>
      </c>
      <c r="T16" s="183">
        <v>1638</v>
      </c>
      <c r="U16" s="183">
        <v>1788</v>
      </c>
      <c r="V16" s="183">
        <v>1736</v>
      </c>
      <c r="W16" s="183">
        <v>206</v>
      </c>
      <c r="X16" s="189">
        <v>1021</v>
      </c>
      <c r="Y16" s="202">
        <v>0</v>
      </c>
      <c r="Z16" s="183">
        <v>0</v>
      </c>
      <c r="AA16" s="183">
        <v>0</v>
      </c>
      <c r="AB16" s="183">
        <v>0</v>
      </c>
      <c r="AC16" s="183">
        <v>3</v>
      </c>
      <c r="AD16" s="183">
        <v>81</v>
      </c>
      <c r="AE16" s="183">
        <v>81</v>
      </c>
      <c r="AF16" s="189">
        <v>3</v>
      </c>
      <c r="AG16" s="202">
        <v>0</v>
      </c>
      <c r="AH16" s="183">
        <v>0</v>
      </c>
      <c r="AI16" s="183">
        <v>0</v>
      </c>
      <c r="AJ16" s="203">
        <v>0</v>
      </c>
      <c r="AK16" s="182">
        <v>1</v>
      </c>
      <c r="AL16" s="183">
        <v>53</v>
      </c>
      <c r="AM16" s="183">
        <v>54</v>
      </c>
      <c r="AN16" s="189">
        <v>0</v>
      </c>
      <c r="AO16" s="259">
        <v>8</v>
      </c>
      <c r="AP16" s="155">
        <v>8</v>
      </c>
      <c r="AQ16" s="155">
        <v>8</v>
      </c>
      <c r="AR16" s="155">
        <v>8</v>
      </c>
      <c r="AS16" s="340" t="s">
        <v>487</v>
      </c>
      <c r="AT16" s="203"/>
      <c r="AU16" s="202"/>
      <c r="AV16" s="203"/>
      <c r="AW16" s="202"/>
      <c r="AX16" s="203"/>
      <c r="AY16" s="126">
        <f t="shared" si="9"/>
        <v>1846</v>
      </c>
      <c r="AZ16" s="127">
        <f t="shared" si="9"/>
        <v>1638</v>
      </c>
      <c r="BA16" s="127">
        <f t="shared" si="9"/>
        <v>1788</v>
      </c>
      <c r="BB16" s="127">
        <f t="shared" si="9"/>
        <v>1736</v>
      </c>
      <c r="BC16" s="125">
        <f>IF(ISNUMBER(W16),W16," - ")</f>
        <v>206</v>
      </c>
      <c r="BD16" s="126">
        <f t="shared" ref="BD16" si="11">IF(ISNUMBER(BA16/AZ16),BA16/AZ16," - ")</f>
        <v>1.0915750915750915</v>
      </c>
      <c r="BE16" s="127">
        <f t="shared" ref="BE16" si="12">IF(ISNUMBER(BB16/BA16),BB16/BA16, " - ")</f>
        <v>0.970917225950783</v>
      </c>
      <c r="BF16" s="127">
        <f t="shared" ref="BF16" si="13">IF(ISNUMBER(BC16/BA16),BC16/BA16, " - ")</f>
        <v>0.11521252796420582</v>
      </c>
      <c r="BG16" s="196">
        <f t="shared" si="10"/>
        <v>1.948545861297539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250</v>
      </c>
      <c r="K17" s="183">
        <v>259</v>
      </c>
      <c r="L17" s="183">
        <v>71</v>
      </c>
      <c r="M17" s="183">
        <v>20</v>
      </c>
      <c r="N17" s="183">
        <v>80</v>
      </c>
      <c r="O17" s="183">
        <v>2</v>
      </c>
      <c r="P17" s="183">
        <v>6</v>
      </c>
      <c r="Q17" s="183">
        <v>3</v>
      </c>
      <c r="R17" s="183">
        <v>10</v>
      </c>
      <c r="S17" s="183">
        <v>50</v>
      </c>
      <c r="T17" s="183">
        <v>241</v>
      </c>
      <c r="U17" s="183">
        <v>240</v>
      </c>
      <c r="V17" s="183">
        <v>51</v>
      </c>
      <c r="W17" s="183">
        <v>26</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50</v>
      </c>
      <c r="AZ17" s="129">
        <f t="shared" si="14"/>
        <v>241</v>
      </c>
      <c r="BA17" s="129">
        <f t="shared" si="14"/>
        <v>240</v>
      </c>
      <c r="BB17" s="129">
        <f t="shared" si="14"/>
        <v>51</v>
      </c>
      <c r="BC17" s="125">
        <f>IF(ISNUMBER(W17),W17," - ")</f>
        <v>26</v>
      </c>
      <c r="BD17" s="126">
        <f>IF(ISNUMBER(BA17/AZ17),BA17/AZ17," - ")</f>
        <v>0.99585062240663902</v>
      </c>
      <c r="BE17" s="127">
        <f>IF(ISNUMBER(BB17/BA17),BB17/BA17, " - ")</f>
        <v>0.21249999999999999</v>
      </c>
      <c r="BF17" s="127">
        <f>IF(ISNUMBER(BC17/BA17),BC17/BA17, " - ")</f>
        <v>0.10833333333333334</v>
      </c>
      <c r="BG17" s="196">
        <f>IF(ISNUMBER((AY17+AZ17)/BA17),(AY17+AZ17)/BA17," - ")</f>
        <v>1.2124999999999999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1827</v>
      </c>
      <c r="J18" s="184">
        <f t="shared" si="15"/>
        <v>1976</v>
      </c>
      <c r="K18" s="184">
        <f t="shared" si="15"/>
        <v>1983</v>
      </c>
      <c r="L18" s="184">
        <f t="shared" si="15"/>
        <v>1771</v>
      </c>
      <c r="M18" s="184">
        <f t="shared" si="15"/>
        <v>245</v>
      </c>
      <c r="N18" s="184">
        <f t="shared" si="15"/>
        <v>1086</v>
      </c>
      <c r="O18" s="184">
        <f t="shared" si="15"/>
        <v>36</v>
      </c>
      <c r="P18" s="184">
        <f t="shared" si="15"/>
        <v>101</v>
      </c>
      <c r="Q18" s="184">
        <f t="shared" si="15"/>
        <v>55</v>
      </c>
      <c r="R18" s="184">
        <f t="shared" si="15"/>
        <v>363</v>
      </c>
      <c r="S18" s="184">
        <f t="shared" si="15"/>
        <v>1896</v>
      </c>
      <c r="T18" s="184">
        <f t="shared" si="15"/>
        <v>1879</v>
      </c>
      <c r="U18" s="184">
        <f t="shared" si="15"/>
        <v>2028</v>
      </c>
      <c r="V18" s="184">
        <f t="shared" si="15"/>
        <v>1787</v>
      </c>
      <c r="W18" s="184">
        <f t="shared" si="15"/>
        <v>232</v>
      </c>
      <c r="X18" s="184">
        <f t="shared" si="15"/>
        <v>1114</v>
      </c>
      <c r="Y18" s="184">
        <f t="shared" si="15"/>
        <v>0</v>
      </c>
      <c r="Z18" s="184">
        <f t="shared" si="15"/>
        <v>0</v>
      </c>
      <c r="AA18" s="184">
        <f t="shared" si="15"/>
        <v>0</v>
      </c>
      <c r="AB18" s="184">
        <f t="shared" si="15"/>
        <v>0</v>
      </c>
      <c r="AC18" s="184">
        <f t="shared" si="15"/>
        <v>3</v>
      </c>
      <c r="AD18" s="184">
        <f t="shared" si="15"/>
        <v>81</v>
      </c>
      <c r="AE18" s="184">
        <f t="shared" si="15"/>
        <v>81</v>
      </c>
      <c r="AF18" s="184">
        <f t="shared" si="15"/>
        <v>3</v>
      </c>
      <c r="AG18" s="184">
        <f t="shared" si="15"/>
        <v>0</v>
      </c>
      <c r="AH18" s="184">
        <f t="shared" si="15"/>
        <v>0</v>
      </c>
      <c r="AI18" s="184">
        <f t="shared" si="15"/>
        <v>0</v>
      </c>
      <c r="AJ18" s="184">
        <f t="shared" si="15"/>
        <v>0</v>
      </c>
      <c r="AK18" s="184">
        <f t="shared" si="15"/>
        <v>1</v>
      </c>
      <c r="AL18" s="184">
        <f t="shared" si="15"/>
        <v>53</v>
      </c>
      <c r="AM18" s="184">
        <f t="shared" si="15"/>
        <v>54</v>
      </c>
      <c r="AN18" s="184">
        <f t="shared" si="15"/>
        <v>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1896</v>
      </c>
      <c r="AZ18" s="184">
        <f>SUBTOTAL(9,AZ14:AZ17)</f>
        <v>1879</v>
      </c>
      <c r="BA18" s="184">
        <f>SUBTOTAL(9,BA14:BA17)</f>
        <v>2028</v>
      </c>
      <c r="BB18" s="184">
        <f>SUBTOTAL(9,BB14:BB17)</f>
        <v>1787</v>
      </c>
      <c r="BC18" s="184">
        <f>SUBTOTAL(9,BC14:BC17)</f>
        <v>232</v>
      </c>
      <c r="BD18" s="205">
        <f>IF(ISNUMBER(BA18/AZ18),BA18/AZ18," - ")</f>
        <v>1.079297498669505</v>
      </c>
      <c r="BE18" s="206">
        <f>IF(ISNUMBER(BB18/BA18),BB18/BA18, " - ")</f>
        <v>0.88116370808678501</v>
      </c>
      <c r="BF18" s="206">
        <f>IF(ISNUMBER(BC18/BA18),BC18/BA18, " - ")</f>
        <v>0.11439842209072978</v>
      </c>
      <c r="BG18" s="207">
        <f>IF(ISNUMBER((AY18+AZ18)/BA18),(AY18+AZ18)/BA18," - ")</f>
        <v>1.861439842209073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9217</v>
      </c>
      <c r="J19" s="134">
        <f t="shared" si="18"/>
        <v>5957</v>
      </c>
      <c r="K19" s="134">
        <f t="shared" si="18"/>
        <v>5062</v>
      </c>
      <c r="L19" s="134">
        <f t="shared" si="18"/>
        <v>9864</v>
      </c>
      <c r="M19" s="134">
        <f t="shared" si="18"/>
        <v>691</v>
      </c>
      <c r="N19" s="134">
        <f t="shared" si="18"/>
        <v>3573</v>
      </c>
      <c r="O19" s="134">
        <f t="shared" si="18"/>
        <v>673</v>
      </c>
      <c r="P19" s="134">
        <f t="shared" si="18"/>
        <v>460</v>
      </c>
      <c r="Q19" s="134">
        <f t="shared" si="18"/>
        <v>385</v>
      </c>
      <c r="R19" s="134">
        <f t="shared" si="18"/>
        <v>8375</v>
      </c>
      <c r="S19" s="134">
        <f t="shared" si="18"/>
        <v>8271</v>
      </c>
      <c r="T19" s="134">
        <f t="shared" si="18"/>
        <v>4081</v>
      </c>
      <c r="U19" s="134">
        <f t="shared" si="18"/>
        <v>4435</v>
      </c>
      <c r="V19" s="134">
        <f t="shared" si="18"/>
        <v>7959</v>
      </c>
      <c r="W19" s="134">
        <f t="shared" si="18"/>
        <v>601</v>
      </c>
      <c r="X19" s="134">
        <f t="shared" si="18"/>
        <v>2907</v>
      </c>
      <c r="Y19" s="134">
        <f t="shared" si="18"/>
        <v>77</v>
      </c>
      <c r="Z19" s="134">
        <f t="shared" si="18"/>
        <v>345</v>
      </c>
      <c r="AA19" s="134">
        <f t="shared" si="18"/>
        <v>333</v>
      </c>
      <c r="AB19" s="134">
        <f t="shared" si="18"/>
        <v>55</v>
      </c>
      <c r="AC19" s="134">
        <f t="shared" si="18"/>
        <v>3</v>
      </c>
      <c r="AD19" s="134">
        <f t="shared" si="18"/>
        <v>81</v>
      </c>
      <c r="AE19" s="134">
        <f t="shared" si="18"/>
        <v>81</v>
      </c>
      <c r="AF19" s="134">
        <f t="shared" si="18"/>
        <v>3</v>
      </c>
      <c r="AG19" s="134">
        <f t="shared" si="18"/>
        <v>137</v>
      </c>
      <c r="AH19" s="134">
        <f t="shared" si="18"/>
        <v>287</v>
      </c>
      <c r="AI19" s="134">
        <f t="shared" si="18"/>
        <v>291</v>
      </c>
      <c r="AJ19" s="134">
        <f t="shared" si="18"/>
        <v>133</v>
      </c>
      <c r="AK19" s="134">
        <f t="shared" si="18"/>
        <v>1</v>
      </c>
      <c r="AL19" s="134">
        <f t="shared" si="18"/>
        <v>53</v>
      </c>
      <c r="AM19" s="134">
        <f t="shared" si="18"/>
        <v>54</v>
      </c>
      <c r="AN19" s="210">
        <f t="shared" si="18"/>
        <v>0</v>
      </c>
      <c r="AO19" s="211">
        <v>9</v>
      </c>
      <c r="AP19" s="211">
        <v>9</v>
      </c>
      <c r="AQ19" s="211">
        <v>9</v>
      </c>
      <c r="AR19" s="211">
        <v>9</v>
      </c>
      <c r="AS19" s="153">
        <f t="shared" si="18"/>
        <v>0</v>
      </c>
      <c r="AT19" s="153">
        <f t="shared" si="18"/>
        <v>0</v>
      </c>
      <c r="AU19" s="211"/>
      <c r="AV19" s="212"/>
      <c r="AW19" s="211"/>
      <c r="AX19" s="212"/>
      <c r="AY19" s="133">
        <f>SUBTOTAL(9,AY9:AY18)</f>
        <v>8408</v>
      </c>
      <c r="AZ19" s="134">
        <f>SUBTOTAL(9,AZ9:AZ18)</f>
        <v>4368</v>
      </c>
      <c r="BA19" s="134">
        <f>SUBTOTAL(9,BA9:BA18)</f>
        <v>4726</v>
      </c>
      <c r="BB19" s="134">
        <f>SUBTOTAL(9,BB9:BB18)</f>
        <v>8092</v>
      </c>
      <c r="BC19" s="135">
        <f>SUBTOTAL(9,BC9:BC18)</f>
        <v>2023</v>
      </c>
      <c r="BD19" s="213">
        <f>IF(ISNUMBER(BA19/AZ19),BA19/AZ19," - ")</f>
        <v>1.0819597069597069</v>
      </c>
      <c r="BE19" s="210">
        <f>IF(ISNUMBER(BB19/BA19),BB19/BA19, " - ")</f>
        <v>1.7122302158273381</v>
      </c>
      <c r="BF19" s="210">
        <f>IF(ISNUMBER(BC19/BA19),BC19/BA19, " - ")</f>
        <v>0.42805755395683454</v>
      </c>
      <c r="BG19" s="135">
        <f>IF(ISNUMBER((AY19+AZ19)/BA19),(AY19+AZ19)/BA19," - ")</f>
        <v>2.7033432077867117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bAMNzTfSE1T746sShOi5SsNO5ySNprIzWWOZ92ppHt6m3t15uqc5zCUsE+5CdXbezASLqCVAcLW0UN/8MZ6g==" saltValue="XGj1gHagZ3GoUAzeEnAjx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RvvrQk7Q2UOFe91nTshh6lFCFztH0ekCvXoJdhg73KZWpf37FIQn4nqHJKBe+9t2yKRGoIY4+AJaMKcAfm6aA==" saltValue="LM61V6cwlj9/dI83Jg/rk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2</v>
      </c>
      <c r="AD10" s="334"/>
      <c r="AE10" s="484"/>
      <c r="AF10" s="332">
        <f>IF(ISNUMBER(Datos!L10),Datos!L10,"-")</f>
        <v>37</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9</v>
      </c>
      <c r="BE10" s="229" t="str">
        <f>IF(ISNUMBER(Datos!BW10),Datos!BW10," - ")</f>
        <v xml:space="preserve"> - </v>
      </c>
      <c r="BF10" s="228" t="str">
        <f>IF(ISNUMBER(Datos!BX10),Datos!BX10," - ")</f>
        <v xml:space="preserve"> - </v>
      </c>
      <c r="BG10" s="243">
        <f>IF(ISNUMBER(Datos!K10/Datos!J10),Datos!K10/Datos!J10," - ")</f>
        <v>0.92592592592592593</v>
      </c>
      <c r="BH10" s="260">
        <f>IF(ISNUMBER(((Datos!L10/Datos!K10)*11)/factor_trimestre),((Datos!L10/Datos!K10)*11)/factor_trimestre," - ")</f>
        <v>4.4400000000000004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0.10810810810810811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345</v>
      </c>
      <c r="O12" s="334"/>
      <c r="P12" s="334"/>
      <c r="Q12" s="226">
        <f>IF(ISNUMBER(Datos!P12),Datos!P12,0)</f>
        <v>349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7930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430</v>
      </c>
      <c r="BD12" s="229">
        <f>IF(ISNUMBER(Datos!N12),Datos!N12," - ")</f>
        <v>2478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0.78785764131193303</v>
      </c>
      <c r="BH12" s="260">
        <f>IF(ISNUMBER(((IF(J_V="SI",Datos!L12/Datos!K12,(Datos!L12+Datos!AB12)/(Datos!K12+Datos!AA12)))*11)/factor_trimestre),((IF(J_V="SI",Datos!L12/Datos!K12,(Datos!L12+Datos!AB12)/(Datos!K12+Datos!AA12)))*11)/factor_trimestre," - ")</f>
        <v>7.184233835252436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2.6552029333670501E-3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345</v>
      </c>
      <c r="O13" s="900">
        <f t="shared" si="0"/>
        <v>0</v>
      </c>
      <c r="P13" s="900">
        <f t="shared" si="0"/>
        <v>0</v>
      </c>
      <c r="Q13" s="899">
        <f t="shared" si="0"/>
        <v>359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330</v>
      </c>
      <c r="AD13" s="899">
        <f t="shared" si="1"/>
        <v>0</v>
      </c>
      <c r="AE13" s="899">
        <f t="shared" si="1"/>
        <v>0</v>
      </c>
      <c r="AF13" s="899">
        <f t="shared" si="1"/>
        <v>37</v>
      </c>
      <c r="AG13" s="899">
        <f t="shared" si="1"/>
        <v>0</v>
      </c>
      <c r="AH13" s="899">
        <f t="shared" si="1"/>
        <v>55</v>
      </c>
      <c r="AI13" s="899">
        <f t="shared" si="1"/>
        <v>0</v>
      </c>
      <c r="AJ13" s="899">
        <f t="shared" si="1"/>
        <v>0</v>
      </c>
      <c r="AK13" s="899">
        <f t="shared" si="1"/>
        <v>0</v>
      </c>
      <c r="AL13" s="899">
        <f t="shared" si="1"/>
        <v>0</v>
      </c>
      <c r="AM13" s="899">
        <f t="shared" si="1"/>
        <v>8012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446</v>
      </c>
      <c r="BD13" s="899">
        <f t="shared" si="1"/>
        <v>2487</v>
      </c>
      <c r="BE13" s="899">
        <f t="shared" si="1"/>
        <v>0</v>
      </c>
      <c r="BF13" s="899">
        <f t="shared" si="1"/>
        <v>0</v>
      </c>
      <c r="BG13" s="899">
        <f>IF(ISNUMBER(Datos!K13/Datos!J13),Datos!K13/Datos!J13," - ")</f>
        <v>0.77342376287364989</v>
      </c>
      <c r="BH13" s="903">
        <f>IF(ISNUMBER(((Datos!L13/Datos!K13)*11)/factor_trimestre),((Datos!L13/Datos!K13)*11)/factor_trimestre," - ")</f>
        <v>7.8853523871386813</v>
      </c>
      <c r="BI13" s="899">
        <f>IF(ISNUMBER('Resol  Asuntos'!D13/NºAsuntos!G13),'Resol  Asuntos'!D13/NºAsuntos!G13," - ")</f>
        <v>0.13071512309495897</v>
      </c>
      <c r="BJ13" s="899" t="str">
        <f>IF(ISNUMBER(Datos!CI13/Datos!CJ13),Datos!CI13/Datos!CJ13," - ")</f>
        <v xml:space="preserve"> - </v>
      </c>
      <c r="BK13" s="899">
        <f>SUBTOTAL(9,BK8:BK12)</f>
        <v>0</v>
      </c>
      <c r="BL13" s="899">
        <f>IF(ISNUMBER((I13-AB13+L13)/(F13)),(I13-AB13+L13)/(F13)," - ")</f>
        <v>-0.7142857142857143</v>
      </c>
      <c r="BM13" s="904">
        <f>SUBTOTAL(9,BM9:BM12)</f>
        <v>0.11076331104147516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1698</v>
      </c>
      <c r="G16" s="598">
        <f>IF(ISNUMBER(IF(D_I="SI",Datos!I16,Datos!I16+Datos!AC16)),IF(D_I="SI",Datos!I16,Datos!I16+Datos!AC16)," - ")</f>
        <v>1747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1724</v>
      </c>
      <c r="AC16" s="226">
        <f>IF(ISNUMBER(Datos!Q16),Datos!Q16," - ")</f>
        <v>52</v>
      </c>
      <c r="AD16" s="334"/>
      <c r="AE16" s="484"/>
      <c r="AF16" s="596">
        <f>IF(ISNUMBER(IF(D_I="SI",Datos!L16,Datos!L16+Datos!AF16)),IF(D_I="SI",Datos!L16,Datos!L16+Datos!AF16)," - ")</f>
        <v>1700</v>
      </c>
      <c r="AG16" s="334"/>
      <c r="AH16" s="334"/>
      <c r="AI16" s="334"/>
      <c r="AJ16" s="334"/>
      <c r="AK16" s="334"/>
      <c r="AL16" s="479"/>
      <c r="AM16" s="335">
        <f>IF(ISNUMBER(Datos!R16),Datos!R16," - ")</f>
        <v>353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225</v>
      </c>
      <c r="BD16" s="229">
        <f>IF(ISNUMBER(Datos!N16),Datos!N16," - ")</f>
        <v>1006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0.99884125144843572</v>
      </c>
      <c r="BH16" s="260">
        <f>IF(ISNUMBER(((IF(D_I="SI",Datos!L16/Datos!K16,(Datos!L16+Datos!AF16)/(Datos!K16+Datos!AE16)))*11)/factor_trimestre),((IF(D_I="SI",Datos!L16/Datos!K16,(Datos!L16+Datos!AF16)/(Datos!K16+Datos!AE16)))*11)/factor_trimestre," - ")</f>
        <v>2.9582366589327145</v>
      </c>
      <c r="BI16" s="243">
        <f>IF(ISNUMBER('Resol  Asuntos'!D16/NºAsuntos!G16),'Resol  Asuntos'!D16/NºAsuntos!G16," - ")</f>
        <v>0.13051044083526683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259</v>
      </c>
      <c r="AC17" s="226">
        <f>IF(ISNUMBER(Datos!Q17),Datos!Q17," - ")</f>
        <v>3</v>
      </c>
      <c r="AD17" s="334"/>
      <c r="AE17" s="484"/>
      <c r="AF17" s="332">
        <f>IF(ISNUMBER(Datos!L17),Datos!L17,"-")</f>
        <v>71</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1.036</v>
      </c>
      <c r="BH17" s="260">
        <f>IF(ISNUMBER(((IF(D_I="SI",Datos!L17/Datos!K17,(Datos!L17+Datos!AF17)/(Datos!K17+Datos!AE17)))*11)/factor_trimestre),((IF(D_I="SI",Datos!L17/Datos!K17,(Datos!L17+Datos!AF17)/(Datos!K17+Datos!AE17)))*11)/factor_trimestre," - ")</f>
        <v>0.82239382239382242</v>
      </c>
      <c r="BI17" s="243">
        <f>IF(ISNUMBER('Resol  Asuntos'!D17/NºAsuntos!G17),'Resol  Asuntos'!D17/NºAsuntos!G17," - ")</f>
        <v>7.7220077220077218E-2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1698</v>
      </c>
      <c r="G18" s="898">
        <f>SUBTOTAL(9,G15:G17)</f>
        <v>1827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1983</v>
      </c>
      <c r="AC18" s="899">
        <f t="shared" si="4"/>
        <v>55</v>
      </c>
      <c r="AD18" s="899">
        <f t="shared" si="4"/>
        <v>0</v>
      </c>
      <c r="AE18" s="899">
        <f t="shared" si="4"/>
        <v>0</v>
      </c>
      <c r="AF18" s="899">
        <f t="shared" si="4"/>
        <v>1771</v>
      </c>
      <c r="AG18" s="899">
        <f t="shared" si="4"/>
        <v>0</v>
      </c>
      <c r="AH18" s="899">
        <f t="shared" si="4"/>
        <v>0</v>
      </c>
      <c r="AI18" s="899">
        <f t="shared" si="4"/>
        <v>0</v>
      </c>
      <c r="AJ18" s="899">
        <f t="shared" si="4"/>
        <v>0</v>
      </c>
      <c r="AK18" s="899">
        <f t="shared" si="4"/>
        <v>0</v>
      </c>
      <c r="AL18" s="899">
        <f t="shared" si="4"/>
        <v>0</v>
      </c>
      <c r="AM18" s="899">
        <f t="shared" si="4"/>
        <v>363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245</v>
      </c>
      <c r="BD18" s="899">
        <f t="shared" si="4"/>
        <v>1086</v>
      </c>
      <c r="BE18" s="899">
        <f t="shared" si="4"/>
        <v>0</v>
      </c>
      <c r="BF18" s="899">
        <f t="shared" si="4"/>
        <v>0</v>
      </c>
      <c r="BG18" s="899">
        <f>IF(ISNUMBER(Datos!K18/Datos!J18),Datos!K18/Datos!J18," - ")</f>
        <v>1.0035425101214575</v>
      </c>
      <c r="BH18" s="903">
        <f>IF(ISNUMBER(((Datos!L18/Datos!K18)*11)/factor_trimestre),((Datos!L18/Datos!K18)*11)/factor_trimestre," - ")</f>
        <v>2.6792738275340393</v>
      </c>
      <c r="BI18" s="899">
        <f>SUBTOTAL(9,BI15:BI17)</f>
        <v>0.20773051805534404</v>
      </c>
      <c r="BJ18" s="899">
        <f>SUBTOTAL(9,BJ15:BJ17)</f>
        <v>0</v>
      </c>
      <c r="BK18" s="899">
        <f>SUBTOTAL(9,BK15:BK17)</f>
        <v>0</v>
      </c>
      <c r="BL18" s="899">
        <f>IF(ISNUMBER((I18-AB18+L18)/(F18)),(I18-AB18+L18)/(F18)," - ")</f>
        <v>-1.167844522968198</v>
      </c>
      <c r="BM18" s="905">
        <f>IF(ISNUMBER((Datos!P18-Datos!Q18)/(Datos!R18-Datos!P18+Datos!Q18)),(Datos!P18-Datos!Q18)/(Datos!R18-Datos!P18+Datos!Q18)," - ")</f>
        <v>0.14511041009463724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1733</v>
      </c>
      <c r="G19" s="820">
        <f t="shared" si="6"/>
        <v>1862</v>
      </c>
      <c r="H19" s="822">
        <f t="shared" si="6"/>
        <v>0</v>
      </c>
      <c r="I19" s="820">
        <f t="shared" si="6"/>
        <v>0</v>
      </c>
      <c r="J19" s="822">
        <f t="shared" si="6"/>
        <v>0</v>
      </c>
      <c r="K19" s="822">
        <f t="shared" si="6"/>
        <v>0</v>
      </c>
      <c r="L19" s="881">
        <f t="shared" si="6"/>
        <v>0</v>
      </c>
      <c r="M19" s="881">
        <f t="shared" si="6"/>
        <v>0</v>
      </c>
      <c r="N19" s="881">
        <f t="shared" si="6"/>
        <v>345</v>
      </c>
      <c r="O19" s="881">
        <f t="shared" si="6"/>
        <v>0</v>
      </c>
      <c r="P19" s="881">
        <f t="shared" si="6"/>
        <v>0</v>
      </c>
      <c r="Q19" s="822">
        <f t="shared" si="6"/>
        <v>460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2008</v>
      </c>
      <c r="AC19" s="821">
        <f t="shared" si="7"/>
        <v>385</v>
      </c>
      <c r="AD19" s="821">
        <f t="shared" si="7"/>
        <v>0</v>
      </c>
      <c r="AE19" s="821">
        <f t="shared" si="7"/>
        <v>0</v>
      </c>
      <c r="AF19" s="828">
        <f t="shared" si="7"/>
        <v>1808</v>
      </c>
      <c r="AG19" s="828">
        <f t="shared" si="7"/>
        <v>0</v>
      </c>
      <c r="AH19" s="828">
        <f t="shared" si="7"/>
        <v>55</v>
      </c>
      <c r="AI19" s="828">
        <f t="shared" si="7"/>
        <v>0</v>
      </c>
      <c r="AJ19" s="821">
        <f t="shared" si="7"/>
        <v>0</v>
      </c>
      <c r="AK19" s="828">
        <f t="shared" si="7"/>
        <v>0</v>
      </c>
      <c r="AL19" s="828">
        <f t="shared" si="7"/>
        <v>0</v>
      </c>
      <c r="AM19" s="828">
        <f t="shared" si="7"/>
        <v>8375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691</v>
      </c>
      <c r="BD19" s="820">
        <f t="shared" si="7"/>
        <v>3573</v>
      </c>
      <c r="BE19" s="820">
        <f t="shared" si="7"/>
        <v>0</v>
      </c>
      <c r="BF19" s="830">
        <f t="shared" si="7"/>
        <v>0</v>
      </c>
      <c r="BG19" s="915">
        <f>IF(ISNUMBER(Datos!K19/Datos!J19),Datos!K19/Datos!J19," - ")</f>
        <v>0.84975658888702366</v>
      </c>
      <c r="BH19" s="915">
        <f>IF(ISNUMBER(((Datos!L19/Datos!K19)*11)/factor_trimestre),((Datos!L19/Datos!K19)*11)/factor_trimestre," - ")</f>
        <v>5.8459107072303444</v>
      </c>
      <c r="BI19" s="813">
        <f>IF(ISNUMBER(Datos!J19/Datos!I19),Datos!J19/Datos!I19," - ")</f>
        <v>0.6463057393945969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-1.1586843623773804</v>
      </c>
      <c r="BM19" s="889">
        <f>IF(ISNUMBER((Datos!P19-Datos!Q19+R19)/(Datos!R19-Datos!P19+Datos!Q19-R19)),(Datos!P19-Datos!Q19+R19)/(Datos!R19-Datos!P19+Datos!Q19-R19)," - ")</f>
        <v>9.0361445783132526E-3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960.13349766234762</v>
      </c>
      <c r="G21" s="552">
        <f>IF(ISNUMBER(STDEV(G8:G18)),STDEV(G8:G18),"-")</f>
        <v>951.99170164450481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967.87716162744539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188.04325743473672</v>
      </c>
      <c r="BD21" s="551"/>
      <c r="BE21" s="551">
        <f>IF(ISNUMBER(STDEV(BE8:BE18)),STDEV(BE8:BE18),"-")</f>
        <v>0</v>
      </c>
      <c r="BF21" s="556">
        <f>IF(ISNUMBER(STDEV(BF8:BF18)),STDEV(BF8:BF18),"-")</f>
        <v>0</v>
      </c>
      <c r="BG21" s="775">
        <f>IF(ISNUMBER(STDEV(BG8:BG18)),STDEV(BG8:BG18),"-")</f>
        <v>0.11456648438715658</v>
      </c>
      <c r="BH21" s="776">
        <f>IF(ISNUMBER(STDEV(BH8:BH18)),STDEV(BH8:BH18),"-")</f>
        <v>2.7462409083115111</v>
      </c>
      <c r="BI21" s="249">
        <f>IF(ISNUMBER(STDEV(BI8:BI18)),STDEV(BI8:BI18),"-")</f>
        <v>5.3719108360074132E-2</v>
      </c>
      <c r="BJ21" s="230" t="str">
        <f>IF(ISNUMBER(BL21/BM21),BL21/BM21," - ")</f>
        <v xml:space="preserve"> - </v>
      </c>
      <c r="BK21" s="575"/>
      <c r="BL21" s="559">
        <f>IF(ISNUMBER(STDEV(BL8:BL18)),STDEV(BL8:BL18),"-")</f>
        <v>0.32071450928627626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Bl01e88NvNkXyyKGXd9BwPFebfDDqBOfxjgwzWh9OLC9K5LKy551U2naQRmIpwN1btT5pge+hZqUFpYuF7EWgQ==" saltValue="rWVGfa4IhPbedPcwh9Ovr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COLLADO VILLALBA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2</v>
      </c>
      <c r="AA10" s="332">
        <f>IF(ISNUMBER(Datos!L10),Datos!L10,"-")</f>
        <v>37</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16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4.4400000000000004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0.10810810810810811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328</v>
      </c>
      <c r="AA12" s="332" t="str">
        <f>IF(ISNUMBER(IF(J_V="SI",Datos!L12,Datos!L12+Datos!AB12)-IF(Monitorios="SI",Datos!CD12,0)),
                          IF(J_V="SI",Datos!L12,Datos!L12+Datos!AB12)-IF(Monitorios="SI",Datos!CD12,0),
                          " - ")</f>
        <v xml:space="preserve"> - </v>
      </c>
      <c r="AB12" s="334"/>
      <c r="AC12" s="334"/>
      <c r="AD12" s="484"/>
      <c r="AE12" s="484">
        <f>IF(ISNUMBER(Datos!R12),Datos!R12," - ")</f>
        <v>7930</v>
      </c>
      <c r="AF12" s="229" t="str">
        <f>IF(ISNUMBER(Datos!BV12),Datos!BV12," - ")</f>
        <v xml:space="preserve"> - </v>
      </c>
      <c r="AG12" s="225" t="str">
        <f>IF(ISNUMBER(Datos!DV12),Datos!DV12," - ")</f>
        <v xml:space="preserve"> - </v>
      </c>
      <c r="AH12" s="298"/>
      <c r="AI12" s="227"/>
      <c r="AJ12" s="225">
        <f>IF(ISNUMBER(Datos!M12),Datos!M12," - ")</f>
        <v>430</v>
      </c>
      <c r="AK12" s="229">
        <f>IF(ISNUMBER(Datos!N12),Datos!N12," - ")</f>
        <v>2478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7.184233835252436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2.6552029333670501E-3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359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330</v>
      </c>
      <c r="AA13" s="900">
        <f t="shared" si="2"/>
        <v>37</v>
      </c>
      <c r="AB13" s="900">
        <f t="shared" si="2"/>
        <v>0</v>
      </c>
      <c r="AC13" s="900">
        <f t="shared" si="2"/>
        <v>0</v>
      </c>
      <c r="AD13" s="900">
        <f t="shared" si="2"/>
        <v>0</v>
      </c>
      <c r="AE13" s="900">
        <f t="shared" si="2"/>
        <v>8012</v>
      </c>
      <c r="AF13" s="908">
        <f t="shared" si="2"/>
        <v>0</v>
      </c>
      <c r="AG13" s="908">
        <f t="shared" si="2"/>
        <v>0</v>
      </c>
      <c r="AH13" s="908">
        <f t="shared" si="2"/>
        <v>0</v>
      </c>
      <c r="AI13" s="908">
        <f t="shared" si="2"/>
        <v>0</v>
      </c>
      <c r="AJ13" s="908">
        <f t="shared" si="2"/>
        <v>446</v>
      </c>
      <c r="AK13" s="908">
        <f t="shared" si="2"/>
        <v>2487</v>
      </c>
      <c r="AL13" s="908">
        <f t="shared" si="2"/>
        <v>0</v>
      </c>
      <c r="AM13" s="908">
        <f t="shared" si="2"/>
        <v>0</v>
      </c>
      <c r="AN13" s="908">
        <f t="shared" si="2"/>
        <v>0</v>
      </c>
      <c r="AO13" s="904">
        <f>IF(ISNUMBER(((NºAsuntos!I13/NºAsuntos!G13)*11)/factor_trimestre),((NºAsuntos!I13/NºAsuntos!G13)*11)/factor_trimestre," - ")</f>
        <v>7.1641266119577969</v>
      </c>
      <c r="AP13" s="910" t="str">
        <f>IF(ISNUMBER(Datos!CI13/Datos!CJ13),Datos!CI13/Datos!CJ13," - ")</f>
        <v xml:space="preserve"> - </v>
      </c>
      <c r="AQ13" s="928">
        <f t="shared" ref="AQ13:AV13" si="3">SUBTOTAL(9,AQ9:AQ12)</f>
        <v>0</v>
      </c>
      <c r="AR13" s="928">
        <f t="shared" si="3"/>
        <v>0.11076331104147516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1698</v>
      </c>
      <c r="G16" s="225">
        <f>IF(ISNUMBER(IF(D_I="SI",Datos!I16,Datos!I16+Datos!AC16)),IF(D_I="SI",Datos!I16,Datos!I16+Datos!AC16)," - ")</f>
        <v>1747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1724</v>
      </c>
      <c r="Z16" s="619">
        <f>IF(ISNUMBER(Datos!Q16),Datos!Q16," - ")</f>
        <v>52</v>
      </c>
      <c r="AA16" s="332">
        <f>IF(ISNUMBER(IF(D_I="SI",Datos!L16,Datos!L16+Datos!AF16)),IF(D_I="SI",Datos!L16,Datos!L16+Datos!AF16)," - ")</f>
        <v>1700</v>
      </c>
      <c r="AB16" s="334"/>
      <c r="AC16" s="334"/>
      <c r="AD16" s="484"/>
      <c r="AE16" s="484">
        <f>IF(ISNUMBER(Datos!R16),Datos!R16," - ")</f>
        <v>353</v>
      </c>
      <c r="AF16" s="229" t="str">
        <f>IF(ISNUMBER(Datos!BV16),Datos!BV16," - ")</f>
        <v xml:space="preserve"> - </v>
      </c>
      <c r="AG16" s="225"/>
      <c r="AH16" s="298"/>
      <c r="AI16" s="227"/>
      <c r="AJ16" s="225">
        <f>IF(ISNUMBER(Datos!M16),Datos!M16," - ")</f>
        <v>225</v>
      </c>
      <c r="AK16" s="229">
        <f>IF(ISNUMBER(Datos!N16),Datos!N16," - ")</f>
        <v>1006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2.9582366589327145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259</v>
      </c>
      <c r="Z17" s="619">
        <f>IF(ISNUMBER(Datos!Q17),Datos!Q17," - ")</f>
        <v>3</v>
      </c>
      <c r="AA17" s="332">
        <f>IF(ISNUMBER(Datos!L17),Datos!L17,"-")</f>
        <v>71</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20</v>
      </c>
      <c r="AK17" s="229">
        <f>IF(ISNUMBER(Datos!N17),Datos!N17," - ")</f>
        <v>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0.82239382239382242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1698</v>
      </c>
      <c r="G18" s="898">
        <f>SUBTOTAL(9,G15:G17)</f>
        <v>1827</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1983</v>
      </c>
      <c r="Z18" s="932">
        <f t="shared" si="5"/>
        <v>55</v>
      </c>
      <c r="AA18" s="932">
        <f t="shared" si="5"/>
        <v>1771</v>
      </c>
      <c r="AB18" s="932">
        <f t="shared" si="5"/>
        <v>0</v>
      </c>
      <c r="AC18" s="932">
        <f t="shared" si="5"/>
        <v>0</v>
      </c>
      <c r="AD18" s="932">
        <f t="shared" si="5"/>
        <v>0</v>
      </c>
      <c r="AE18" s="932">
        <f t="shared" si="5"/>
        <v>363</v>
      </c>
      <c r="AF18" s="932">
        <f t="shared" si="5"/>
        <v>0</v>
      </c>
      <c r="AG18" s="932">
        <f t="shared" si="5"/>
        <v>0</v>
      </c>
      <c r="AH18" s="932">
        <f t="shared" si="5"/>
        <v>0</v>
      </c>
      <c r="AI18" s="932">
        <f t="shared" si="5"/>
        <v>0</v>
      </c>
      <c r="AJ18" s="932">
        <f t="shared" si="5"/>
        <v>245</v>
      </c>
      <c r="AK18" s="932">
        <f t="shared" si="5"/>
        <v>1086</v>
      </c>
      <c r="AL18" s="932">
        <f t="shared" si="5"/>
        <v>0</v>
      </c>
      <c r="AM18" s="932">
        <f t="shared" si="5"/>
        <v>0</v>
      </c>
      <c r="AN18" s="932">
        <f t="shared" si="5"/>
        <v>0</v>
      </c>
      <c r="AO18" s="934">
        <f>IF(ISNUMBER(((NºAsuntos!I18/NºAsuntos!G18)*11)/factor_trimestre),((NºAsuntos!I18/NºAsuntos!G18)*11)/factor_trimestre," - ")</f>
        <v>2.6792738275340393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1733</v>
      </c>
      <c r="G19" s="820">
        <f t="shared" si="7"/>
        <v>1862</v>
      </c>
      <c r="H19" s="821">
        <f t="shared" si="7"/>
        <v>0</v>
      </c>
      <c r="I19" s="820">
        <f t="shared" si="7"/>
        <v>0</v>
      </c>
      <c r="J19" s="822">
        <f t="shared" si="7"/>
        <v>0</v>
      </c>
      <c r="K19" s="820">
        <f t="shared" si="7"/>
        <v>0</v>
      </c>
      <c r="L19" s="823">
        <f t="shared" si="7"/>
        <v>0</v>
      </c>
      <c r="M19" s="820">
        <f t="shared" si="7"/>
        <v>0</v>
      </c>
      <c r="N19" s="821">
        <f t="shared" si="7"/>
        <v>460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2008</v>
      </c>
      <c r="Z19" s="827">
        <f t="shared" si="8"/>
        <v>385</v>
      </c>
      <c r="AA19" s="828">
        <f t="shared" si="8"/>
        <v>1808</v>
      </c>
      <c r="AB19" s="828">
        <f t="shared" si="8"/>
        <v>0</v>
      </c>
      <c r="AC19" s="828">
        <f t="shared" si="8"/>
        <v>0</v>
      </c>
      <c r="AD19" s="829">
        <f t="shared" si="8"/>
        <v>0</v>
      </c>
      <c r="AE19" s="829">
        <f t="shared" si="8"/>
        <v>8375</v>
      </c>
      <c r="AF19" s="830">
        <f t="shared" si="8"/>
        <v>0</v>
      </c>
      <c r="AG19" s="831">
        <f t="shared" si="8"/>
        <v>0</v>
      </c>
      <c r="AH19" s="832">
        <f t="shared" si="8"/>
        <v>0</v>
      </c>
      <c r="AI19" s="830">
        <f t="shared" si="8"/>
        <v>0</v>
      </c>
      <c r="AJ19" s="820">
        <f t="shared" si="8"/>
        <v>691</v>
      </c>
      <c r="AK19" s="820">
        <f t="shared" si="8"/>
        <v>3573</v>
      </c>
      <c r="AL19" s="820">
        <f t="shared" si="8"/>
        <v>0</v>
      </c>
      <c r="AM19" s="833">
        <f t="shared" si="8"/>
        <v>0</v>
      </c>
      <c r="AN19" s="823">
        <f>IF(ISNUMBER(Datos!K19/Datos!J19),Datos!K19/Datos!J19," - ")</f>
        <v>0.84975658888702366</v>
      </c>
      <c r="AO19" s="823">
        <f>IF(ISNUMBER(FIND("06",Criterios!A8,1)),(IF(ISNUMBER(((Datos!R19/Datos!Q19)*11)/factor_trimestre),((Datos!R19/Datos!Q19)*11)/factor_trimestre," - ")),(IF(ISNUMBER(((Datos!L19/Datos!K19)*11)/factor_trimestre),((Datos!L19/Datos!K19)*11)/factor_trimestre," - ")))</f>
        <v>5.8459107072303444</v>
      </c>
      <c r="AP19" s="834" t="str">
        <f>IF(ISNUMBER(Datos!CI19/Datos!CJ19),Datos!CI19/Datos!CJ19," - ")</f>
        <v xml:space="preserve"> - </v>
      </c>
      <c r="AQ19" s="834">
        <f>IF(OR(ISNUMBER(FIND("01",Criterios!A8,1)),ISNUMBER(FIND("02",Criterios!A8,1)),ISNUMBER(FIND("03",Criterios!A8,1)),ISNUMBER(FIND("04",Criterios!A8,1))),(J19-Y19+K19)/(F19-K19),(I19-Y19+K19)/(F19-K19))</f>
        <v>-1.1586843623773804</v>
      </c>
      <c r="AR19" s="834">
        <f>IF(ISNUMBER((Datos!P19-Datos!Q19+O19)/(Datos!R19-Datos!P19+Datos!Q19-O19)),(Datos!P19-Datos!Q19+O19)/(Datos!R19-Datos!P19+Datos!Q19-O19)," - ")</f>
        <v>9.0361445783132526E-3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960.13349766234762</v>
      </c>
      <c r="G21" s="552">
        <f>IF(ISNUMBER(STDEV(G8:G18)),STDEV(G8:G18),"-")</f>
        <v>951.99170164450481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188.04325743473672</v>
      </c>
      <c r="AK21" s="252"/>
      <c r="AL21" s="252">
        <f>IF(ISNUMBER(STDEV(AL8:AL18)),STDEV(AL8:AL18),"-")</f>
        <v>0</v>
      </c>
      <c r="AM21" s="254">
        <f>IF(ISNUMBER(STDEV(AM8:AM18)),STDEV(AM8:AM18),"-")</f>
        <v>0</v>
      </c>
      <c r="AN21" s="539">
        <f>IF(ISNUMBER(STDEV(AN8:AN18)),STDEV(AN8:AN18),"-")</f>
        <v>0</v>
      </c>
      <c r="AO21" s="540">
        <f>IF(ISNUMBER(STDEV(AO8:AO18)),STDEV(AO8:AO18),"-")</f>
        <v>2.5695025855307887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gLgC5G6It/2NSQXDLdvMsACjNdktHU8vuJPAlccvT3nSiQ1JqUpDvF3GRKgSwtBat18WALV9h8AbE5dFrgswcA==" saltValue="zBX7f8ksgUUkhXlcJh2D3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psXN4AZN0JjuqvJ+flguQhD6z3KJfMwjCS/1XD9Pkzi43iDvMaExYV3qCm/i0S6FN5AhopiVZKeYB0Ijl7xrw==" saltValue="sJjNR5qCUxDIjXpQfCxs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4+gULVsTib7Og1+G8lo6fvrCr+0a04cszqmKUAD4s+7oH+OouI4JUFeevCySLtRkyZbQt4YflUWQpL65fw6xA==" saltValue="gigxpBnBaf7QRz+02BCVF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0.13071512309495897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9.2429549944079772E-2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XNs4mNh8pj7VwrhFgGO8/aVo1cEYtHZgfQayFqhm4c+zLFrmCKMUqVlvTYkRQQn4PRgq5hkt+XrcHTuEYV4YiA==" saltValue="ZbUaDxHSW14V8Edfl1cFd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EJzfjo35lx8KB+uz3crgcDczNxO9TetgNnDDQB9wMIL5b0+bGNjk0+CXIuodT4ysuKKBSHsHIK/SpS/Evi5Mg==" saltValue="4FYT5O04TgEHuFHhf3bS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COLLADO VILLALBA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27</v>
      </c>
      <c r="F10" s="404">
        <f>IF(ISNUMBER(E10/B10),E10/B10," - ")</f>
        <v>27</v>
      </c>
      <c r="G10" s="403">
        <f>IF(ISNUMBER(Datos!K10),Datos!K10," - ")</f>
        <v>25</v>
      </c>
      <c r="H10" s="404">
        <f>IF(ISNUMBER(G10/B10),G10/B10," - ")</f>
        <v>25</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7432</v>
      </c>
      <c r="D12" s="404">
        <f>IF(ISNUMBER(C12/Datos!BH12),C12/Datos!BH12," - ")</f>
        <v>929</v>
      </c>
      <c r="E12" s="403">
        <f>IF(ISNUMBER(IF(J_V="SI",Datos!J12,Datos!J12+Datos!Z12)),IF(J_V="SI",Datos!J12,Datos!J12+Datos!Z12)," - ")</f>
        <v>4299</v>
      </c>
      <c r="F12" s="404">
        <f>IF(ISNUMBER(E12/B12),E12/B12," - ")</f>
        <v>537.375</v>
      </c>
      <c r="G12" s="403">
        <f>IF(ISNUMBER(IF(J_V="SI",Datos!K12,Datos!K12+Datos!AA12)),IF(J_V="SI",Datos!K12,Datos!K12+Datos!AA12)," - ")</f>
        <v>3387</v>
      </c>
      <c r="H12" s="404">
        <f>IF(ISNUMBER(G12/B12),G12/B12," - ")</f>
        <v>423.375</v>
      </c>
      <c r="I12" s="403">
        <f>IF(ISNUMBER(IF(J_V="SI",Datos!L12,Datos!L12+Datos!AB12)),IF(J_V="SI",Datos!L12,Datos!L12+Datos!AB12)," - ")</f>
        <v>8111</v>
      </c>
      <c r="J12" s="404">
        <f>IF(ISNUMBER(I12/B12),I12/B12," - ")</f>
        <v>1013.875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7467</v>
      </c>
      <c r="D13" s="850" t="str">
        <f>IF(ISNUMBER(C13/Datos!BI13),C13/Datos!BI13," - ")</f>
        <v xml:space="preserve"> - </v>
      </c>
      <c r="E13" s="849">
        <f>SUBTOTAL(9,E8:E12)</f>
        <v>4326</v>
      </c>
      <c r="F13" s="850">
        <f>IF(ISNUMBER(E13/B13),E13/B13," - ")</f>
        <v>480.66666666666669</v>
      </c>
      <c r="G13" s="849">
        <f>SUBTOTAL(9,G8:G12)</f>
        <v>3412</v>
      </c>
      <c r="H13" s="850">
        <f>IF(ISNUMBER(G13/B13),G13/B13," - ")</f>
        <v>379.11111111111109</v>
      </c>
      <c r="I13" s="849">
        <f>SUBTOTAL(9,I8:I12)</f>
        <v>8148</v>
      </c>
      <c r="J13" s="850">
        <f>IF(ISNUMBER(I13/B13),I13/B13," - ")</f>
        <v>905.33333333333337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1747</v>
      </c>
      <c r="D16" s="404">
        <f>IF(ISNUMBER(C16/Datos!BH16),C16/Datos!BH16," - ")</f>
        <v>218.375</v>
      </c>
      <c r="E16" s="403">
        <f>IF(ISNUMBER(IF(D_I="SI",Datos!J16,Datos!J16+Datos!AD16)),IF(D_I="SI",Datos!J16,Datos!J16+Datos!AD16)," - ")</f>
        <v>1726</v>
      </c>
      <c r="F16" s="404">
        <f>IF(ISNUMBER(E16/B16),E16/B16," - ")</f>
        <v>215.75</v>
      </c>
      <c r="G16" s="403">
        <f>IF(ISNUMBER(IF(D_I="SI",Datos!K16,Datos!K16+Datos!AE16)),IF(D_I="SI",Datos!K16,Datos!K16+Datos!AE16)," - ")</f>
        <v>1724</v>
      </c>
      <c r="H16" s="404">
        <f>IF(ISNUMBER(G16/B16),G16/B16," - ")</f>
        <v>215.5</v>
      </c>
      <c r="I16" s="403">
        <f>IF(ISNUMBER(IF(D_I="SI",Datos!L16,Datos!L16+Datos!AF16)),IF(D_I="SI",Datos!L16,Datos!L16+Datos!AF16)," - ")</f>
        <v>1700</v>
      </c>
      <c r="J16" s="404">
        <f>IF(ISNUMBER(I16/B16),I16/B16," - ")</f>
        <v>212.5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250</v>
      </c>
      <c r="F17" s="404">
        <f>IF(ISNUMBER(E17/B17),E17/B17," - ")</f>
        <v>250</v>
      </c>
      <c r="G17" s="403">
        <f>IF(ISNUMBER(IF(D_I="SI",Datos!K17,Datos!K17+Datos!AE17)),IF(D_I="SI",Datos!K17,Datos!K17+Datos!AE17)," - ")</f>
        <v>259</v>
      </c>
      <c r="H17" s="404">
        <f>IF(ISNUMBER(G17/B17),G17/B17," - ")</f>
        <v>259</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1827</v>
      </c>
      <c r="D18" s="850" t="str">
        <f>IF(ISNUMBER(C18/Datos!BI18),C18/Datos!BI18," - ")</f>
        <v xml:space="preserve"> - </v>
      </c>
      <c r="E18" s="849">
        <f>SUBTOTAL(9,E14:E17)</f>
        <v>1976</v>
      </c>
      <c r="F18" s="850">
        <f>IF(ISNUMBER(E18/B18),E18/B18," - ")</f>
        <v>219.55555555555554</v>
      </c>
      <c r="G18" s="849">
        <f>SUBTOTAL(9,G14:G17)</f>
        <v>1983</v>
      </c>
      <c r="H18" s="850">
        <f>IF(ISNUMBER(G18/B18),G18/B18," - ")</f>
        <v>220.33333333333334</v>
      </c>
      <c r="I18" s="849">
        <f>SUBTOTAL(9,I14:I17)</f>
        <v>1771</v>
      </c>
      <c r="J18" s="850">
        <f>IF(ISNUMBER(I18/B18),I18/B18," - ")</f>
        <v>196.77777777777777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9294</v>
      </c>
      <c r="D19" s="795" t="str">
        <f>IF(ISNUMBER(C19/Datos!BI19),C19/Datos!BI19," - ")</f>
        <v xml:space="preserve"> - </v>
      </c>
      <c r="E19" s="794">
        <f>SUBTOTAL(9,E9:E18)</f>
        <v>6302</v>
      </c>
      <c r="F19" s="795">
        <f>IF(ISNUMBER(E19/B19),E19/B19," - ")</f>
        <v>700.22222222222217</v>
      </c>
      <c r="G19" s="794">
        <f>SUBTOTAL(9,G9:G18)</f>
        <v>5395</v>
      </c>
      <c r="H19" s="795">
        <f>IF(ISNUMBER(G19/B19),G19/B19," - ")</f>
        <v>599.44444444444446</v>
      </c>
      <c r="I19" s="794">
        <f>SUBTOTAL(9,I9:I18)</f>
        <v>9919</v>
      </c>
      <c r="J19" s="795">
        <f>IF(ISNUMBER(I19/B19),I19/B19," - ")</f>
        <v>1102.1111111111111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NbOMx3dfn2zyKI6CUuIwlYEhEEXxW4MVVVvwNrQRr6hxpCm8Iy7KWM1uZQH5ZlgLpX7t9BppB9H15EeA7aWQ6g==" saltValue="zNTO41AsYGWTqmZZRgAl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COLLADO VILLALBA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4.4400000000000004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430</v>
      </c>
      <c r="AM12" s="690">
        <f>IF(ISNUMBER(Datos!N12+DatosP!N16),Datos!N12+DatosP!N16," - ")</f>
        <v>2478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7.184233835252436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2.6552029333670501E-3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359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328</v>
      </c>
      <c r="AE13" s="939">
        <f t="shared" si="1"/>
        <v>0</v>
      </c>
      <c r="AF13" s="939">
        <f t="shared" si="1"/>
        <v>37</v>
      </c>
      <c r="AG13" s="939">
        <f t="shared" si="1"/>
        <v>0</v>
      </c>
      <c r="AH13" s="939">
        <f t="shared" si="1"/>
        <v>7930</v>
      </c>
      <c r="AI13" s="939">
        <f t="shared" si="1"/>
        <v>0</v>
      </c>
      <c r="AJ13" s="939">
        <f t="shared" si="1"/>
        <v>0</v>
      </c>
      <c r="AK13" s="939">
        <f t="shared" si="1"/>
        <v>0</v>
      </c>
      <c r="AL13" s="939">
        <f t="shared" si="1"/>
        <v>446</v>
      </c>
      <c r="AM13" s="939">
        <f t="shared" si="1"/>
        <v>2487</v>
      </c>
      <c r="AN13" s="939">
        <f t="shared" si="1"/>
        <v>0</v>
      </c>
      <c r="AO13" s="939">
        <f t="shared" si="1"/>
        <v>0</v>
      </c>
      <c r="AP13" s="944">
        <f>IF(ISNUMBER(((Datos!L13/Datos!K13)*11)/factor_trimestre),((Datos!L13/Datos!K13)*11)/factor_trimestre," - ")</f>
        <v>7.8853523871386813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2.6552029333670501E-3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2.6792738275340393</v>
      </c>
      <c r="AQ18" s="944">
        <f>IF(ISNUMBER(((Datos!M18/Datos!L18)*11)/factor_trimestre),((Datos!M18/Datos!L18)*11)/factor_trimestre," - ")</f>
        <v>0.41501976284584985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0.14511041009463724</v>
      </c>
      <c r="AW18" s="946">
        <f>IF(ISNUMBER((Datos!Q18-Datos!R18)/(Datos!S18-Datos!Q18+Datos!R18)),(Datos!Q18-Datos!R18)/(Datos!S18-Datos!Q18+Datos!R18)," - ")</f>
        <v>-0.1397459165154265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359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328</v>
      </c>
      <c r="AE19" s="957">
        <f t="shared" si="5"/>
        <v>0</v>
      </c>
      <c r="AF19" s="958">
        <f t="shared" si="5"/>
        <v>37</v>
      </c>
      <c r="AG19" s="958">
        <f t="shared" si="5"/>
        <v>0</v>
      </c>
      <c r="AH19" s="958">
        <f t="shared" si="5"/>
        <v>7930</v>
      </c>
      <c r="AI19" s="958">
        <f t="shared" si="5"/>
        <v>0</v>
      </c>
      <c r="AJ19" s="959">
        <f t="shared" si="5"/>
        <v>0</v>
      </c>
      <c r="AK19" s="959">
        <f t="shared" si="5"/>
        <v>0</v>
      </c>
      <c r="AL19" s="951">
        <f t="shared" si="5"/>
        <v>446</v>
      </c>
      <c r="AM19" s="951">
        <f t="shared" si="5"/>
        <v>2487</v>
      </c>
      <c r="AN19" s="951">
        <f t="shared" si="5"/>
        <v>0</v>
      </c>
      <c r="AO19" s="951">
        <f t="shared" si="5"/>
        <v>0</v>
      </c>
      <c r="AP19" s="951">
        <f>IF(ISNUMBER(((Datos!L19/Datos!K19)*11)/factor_trimestre),((Datos!L19/Datos!K19)*11)/factor_trimestre," - ")</f>
        <v>5.8459107072303444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9.0361445783132526E-3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248.43241871113895</v>
      </c>
      <c r="AM21" s="736"/>
      <c r="AN21" s="736">
        <f>IF(ISNUMBER(STDEV(AN8:AN18)),STDEV(AN8:AN18),"-")</f>
        <v>0</v>
      </c>
      <c r="AO21" s="742">
        <f>IF(ISNUMBER(STDEV(AO8:AO18)),STDEV(AO8:AO18),"-")</f>
        <v>0</v>
      </c>
      <c r="AP21" s="779">
        <f>IF(ISNUMBER(STDEV(AP8:AP18)),STDEV(AP8:AP18),"-")</f>
        <v>2.4219639918227083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eHFsxwJXxdL2DI8Mr1RPN9hqsaKZefe9Sw2viaAzJ8hsH9jiE1hJ8I9wxvBIKeP+ycCEPptGez1dkWJmcflivw==" saltValue="PvyyzYfJbS33Avc27sYLv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COLLADO VILLALBA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sjwVrccO+4gVhCVr20HChkoBwheB3hiEW+3J8vXlv1YC1jwjgDz9a/4dVYwMAU5/bIz5rHx0duC9AHejc15OPA==" saltValue="RdUklzvCM6/itBb50aH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COLLADO VILLALBA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430</v>
      </c>
      <c r="E12" s="404">
        <f t="shared" si="0"/>
        <v>53.75</v>
      </c>
      <c r="F12" s="403">
        <f>IF(ISNUMBER(Datos!N12),Datos!N12," - ")</f>
        <v>2478</v>
      </c>
      <c r="G12" s="404">
        <f t="shared" si="1"/>
        <v>309.75</v>
      </c>
      <c r="H12" s="403">
        <f>IF(ISNUMBER(Datos!O12),Datos!O12," - ")</f>
        <v>634</v>
      </c>
      <c r="I12" s="404">
        <f t="shared" si="2"/>
        <v>79.25</v>
      </c>
      <c r="BZ12" s="1186">
        <f>Datos!EZ12</f>
        <v>0</v>
      </c>
    </row>
    <row r="13" spans="1:78" ht="14.25" thickTop="1" thickBot="1">
      <c r="A13" s="848" t="str">
        <f>Datos!A13</f>
        <v>TOTAL</v>
      </c>
      <c r="B13" s="849">
        <f>Datos!AP13</f>
        <v>9</v>
      </c>
      <c r="C13" s="851">
        <f>Datos!AR13</f>
        <v>9</v>
      </c>
      <c r="D13" s="849">
        <f>SUBTOTAL(9,D9:D12)</f>
        <v>446</v>
      </c>
      <c r="E13" s="850">
        <f t="shared" si="0"/>
        <v>49.555555555555557</v>
      </c>
      <c r="F13" s="849">
        <f>SUBTOTAL(9,F9:F12)</f>
        <v>2487</v>
      </c>
      <c r="G13" s="850">
        <f t="shared" si="1"/>
        <v>276.33333333333331</v>
      </c>
      <c r="H13" s="849">
        <f>SUBTOTAL(9,H9:H12)</f>
        <v>637</v>
      </c>
      <c r="I13" s="850">
        <f>IF(ISNUMBER(H13/B13),H13/B13," - ")</f>
        <v>70.777777777777771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225</v>
      </c>
      <c r="E16" s="404">
        <f t="shared" si="3"/>
        <v>28.125</v>
      </c>
      <c r="F16" s="403">
        <f>IF(ISNUMBER(Datos!N16),Datos!N16," - ")</f>
        <v>1006</v>
      </c>
      <c r="G16" s="404">
        <f t="shared" si="4"/>
        <v>125.75</v>
      </c>
      <c r="H16" s="403">
        <f>IF(ISNUMBER(Datos!O16),Datos!O16," - ")</f>
        <v>34</v>
      </c>
      <c r="I16" s="404">
        <f t="shared" si="5"/>
        <v>4.25</v>
      </c>
      <c r="BZ16" s="1186">
        <f>Datos!EZ16</f>
        <v>0</v>
      </c>
    </row>
    <row r="17" spans="1:78" ht="13.5" thickBot="1">
      <c r="A17" s="402" t="str">
        <f>Datos!A17</f>
        <v>Jdos. Violencia contra la mujer</v>
      </c>
      <c r="B17" s="427">
        <f>Datos!AO17</f>
        <v>1</v>
      </c>
      <c r="C17" s="428">
        <f>Datos!AQ17</f>
        <v>1</v>
      </c>
      <c r="D17" s="403">
        <f>IF(ISNUMBER(Datos!M17),Datos!M17," - ")</f>
        <v>20</v>
      </c>
      <c r="E17" s="404">
        <f>IF(ISNUMBER(D17/B17),D17/B17," - ")</f>
        <v>20</v>
      </c>
      <c r="F17" s="403">
        <f>IF(ISNUMBER(Datos!N17),Datos!N17," - ")</f>
        <v>80</v>
      </c>
      <c r="G17" s="404">
        <f>IF(ISNUMBER(F17/B17),F17/B17," - ")</f>
        <v>80</v>
      </c>
      <c r="H17" s="403">
        <f>IF(ISNUMBER(Datos!O17),Datos!O17," - ")</f>
        <v>2</v>
      </c>
      <c r="I17" s="404">
        <f t="shared" si="5"/>
        <v>2</v>
      </c>
      <c r="BZ17" s="1186">
        <f>Datos!EZ17</f>
        <v>0</v>
      </c>
    </row>
    <row r="18" spans="1:78" ht="14.25" thickTop="1" thickBot="1">
      <c r="A18" s="848" t="str">
        <f>Datos!A18</f>
        <v>TOTAL</v>
      </c>
      <c r="B18" s="849">
        <f>Datos!AP18</f>
        <v>9</v>
      </c>
      <c r="C18" s="851">
        <f>Datos!AR18</f>
        <v>9</v>
      </c>
      <c r="D18" s="849">
        <f>SUBTOTAL(9,D15:D17)</f>
        <v>245</v>
      </c>
      <c r="E18" s="850">
        <f t="shared" si="3"/>
        <v>27.222222222222221</v>
      </c>
      <c r="F18" s="849">
        <f>SUBTOTAL(9,F15:F17)</f>
        <v>1086</v>
      </c>
      <c r="G18" s="850">
        <f t="shared" si="4"/>
        <v>120.66666666666667</v>
      </c>
      <c r="H18" s="849">
        <f>SUBTOTAL(9,H15:H17)</f>
        <v>36</v>
      </c>
      <c r="I18" s="850">
        <f>IF(ISNUMBER(H18/B18),H18/B18," - ")</f>
        <v>4</v>
      </c>
      <c r="BZ18" s="1186"/>
    </row>
    <row r="19" spans="1:78" ht="14.25" thickTop="1" thickBot="1">
      <c r="A19" s="793" t="str">
        <f>Datos!A19</f>
        <v>TOTAL JURISDICCIONES</v>
      </c>
      <c r="B19" s="794">
        <f>Datos!AP19</f>
        <v>9</v>
      </c>
      <c r="C19" s="794">
        <f>Datos!AR19</f>
        <v>9</v>
      </c>
      <c r="D19" s="794">
        <f>SUBTOTAL(9,D8:D18)</f>
        <v>691</v>
      </c>
      <c r="E19" s="795">
        <f>IF(ISNUMBER(D19/B19),D19/B19," - ")</f>
        <v>76.777777777777771</v>
      </c>
      <c r="F19" s="794">
        <f>SUBTOTAL(9,F8:F18)</f>
        <v>3573</v>
      </c>
      <c r="G19" s="795">
        <f>IF(ISNUMBER(F19/B19),F19/B19," - ")</f>
        <v>397</v>
      </c>
      <c r="H19" s="794">
        <f>SUBTOTAL(9,H8:H18)</f>
        <v>673</v>
      </c>
      <c r="I19" s="795">
        <f>IF(ISNUMBER(H19/B19),H19/B19," - ")</f>
        <v>74.777777777777771</v>
      </c>
    </row>
    <row r="22" spans="1:78">
      <c r="A22" s="391" t="str">
        <f>Criterios!A4</f>
        <v>Fecha Informe: 04 jun. 2025</v>
      </c>
    </row>
    <row r="27" spans="1:78">
      <c r="A27" s="414"/>
    </row>
  </sheetData>
  <sheetProtection algorithmName="SHA-512" hashValue="s0PIX8MciQee4Hd/PXVvVH4v4o3TMD3nBEpN5aa8Q4MIb6R2WKs8rKABupHXwA8g2EObDvdXtMKhLY2/WFsERQ==" saltValue="JwBvu9iMP607iZ2YD9t0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COLLADO VILLALBA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2</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349</v>
      </c>
      <c r="C12" s="434">
        <f>IF(ISNUMBER(Datos!Q12),Datos!Q12," - ")</f>
        <v>328</v>
      </c>
      <c r="D12" s="408">
        <f>IF(ISNUMBER(Datos!R12),Datos!R12," - ")</f>
        <v>7930</v>
      </c>
    </row>
    <row r="13" spans="1:4" ht="14.25" thickTop="1" thickBot="1">
      <c r="A13" s="848" t="str">
        <f>Datos!A13</f>
        <v>TOTAL</v>
      </c>
      <c r="B13" s="849">
        <f>SUBTOTAL(9,B9:B12)</f>
        <v>359</v>
      </c>
      <c r="C13" s="853">
        <f>SUBTOTAL(9,C9:C12)</f>
        <v>330</v>
      </c>
      <c r="D13" s="851">
        <f>SUBTOTAL(9,D9:D12)</f>
        <v>8012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95</v>
      </c>
      <c r="C16" s="434">
        <f>IF(ISNUMBER(Datos!Q16),Datos!Q16," - ")</f>
        <v>52</v>
      </c>
      <c r="D16" s="408">
        <f>IF(ISNUMBER(Datos!R16),Datos!R16," - ")</f>
        <v>353</v>
      </c>
    </row>
    <row r="17" spans="1:4" ht="13.5" thickBot="1">
      <c r="A17" s="402" t="str">
        <f>Datos!A17</f>
        <v>Jdos. Violencia contra la mujer</v>
      </c>
      <c r="B17" s="433">
        <f>IF(ISNUMBER(Datos!P17),Datos!P17," - ")</f>
        <v>6</v>
      </c>
      <c r="C17" s="434">
        <f>IF(ISNUMBER(Datos!Q17),Datos!Q17," - ")</f>
        <v>3</v>
      </c>
      <c r="D17" s="408">
        <f>IF(ISNUMBER(Datos!R17),Datos!R17," - ")</f>
        <v>10</v>
      </c>
    </row>
    <row r="18" spans="1:4" ht="14.25" thickTop="1" thickBot="1">
      <c r="A18" s="848" t="str">
        <f>Datos!A18</f>
        <v>TOTAL</v>
      </c>
      <c r="B18" s="849">
        <f>SUBTOTAL(9,B15:B17)</f>
        <v>101</v>
      </c>
      <c r="C18" s="853">
        <f>SUBTOTAL(9,C15:C17)</f>
        <v>55</v>
      </c>
      <c r="D18" s="851">
        <f>SUBTOTAL(9,D15:D17)</f>
        <v>363</v>
      </c>
    </row>
    <row r="19" spans="1:4" ht="16.5" customHeight="1" thickTop="1" thickBot="1">
      <c r="A19" s="793" t="str">
        <f>Datos!A19</f>
        <v>TOTAL JURISDICCIONES</v>
      </c>
      <c r="B19" s="798">
        <f>SUBTOTAL(9,B8:B18)</f>
        <v>460</v>
      </c>
      <c r="C19" s="799">
        <f>SUBTOTAL(9,C8:C18)</f>
        <v>385</v>
      </c>
      <c r="D19" s="800">
        <f>SUBTOTAL(9,D8:D18)</f>
        <v>8375</v>
      </c>
    </row>
    <row r="20" spans="1:4" ht="7.5" customHeight="1"/>
    <row r="21" spans="1:4" ht="6" customHeight="1"/>
    <row r="22" spans="1:4">
      <c r="A22" s="391" t="str">
        <f>Criterios!A4</f>
        <v>Fecha Informe: 04 jun. 2025</v>
      </c>
    </row>
    <row r="27" spans="1:4">
      <c r="A27" s="414"/>
    </row>
  </sheetData>
  <sheetProtection algorithmName="SHA-512" hashValue="M+dgFs4N2pwwdO0dfl9rkWSxbLqJ7RnSeeRxI98bOf3fC3WopUmb+MTPMr9Qv7dOftst+4IzlxHzfBvHu+YheQ==" saltValue="p4cKC0vQEc0FkZs5qbm3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COLLADO VILLALBA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0.6875</v>
      </c>
      <c r="D10" s="456">
        <f>IF(ISNUMBER((Datos!K10-Datos!U10)/Datos!U10),(Datos!K10-Datos!U10)/Datos!U10," - ")</f>
        <v>0.13636363636363635</v>
      </c>
      <c r="E10" s="456">
        <f>IF(ISNUMBER((Datos!L10-Datos!V10)/Datos!V10),(Datos!L10-Datos!V10)/Datos!V10," - ")</f>
        <v>2.7777777777777776E-2</v>
      </c>
      <c r="F10" s="456">
        <f>IF(ISNUMBER((Datos!M10-Datos!W10)/Datos!W10),(Datos!M10-Datos!W10)/Datos!W10," - ")</f>
        <v>0.77777777777777779</v>
      </c>
      <c r="G10" s="457">
        <f>IF(ISNUMBER((Datos!N10-Datos!X10)/Datos!X10),(Datos!N10-Datos!X10)/Datos!X10," - ")</f>
        <v>-0.18181818181818182</v>
      </c>
      <c r="H10" s="455">
        <f>IF(ISNUMBER(((NºAsuntos!G10/NºAsuntos!E10)-Datos!BD10)/Datos!BD10),((NºAsuntos!G10/NºAsuntos!E10)-Datos!BD10)/Datos!BD10," - ")</f>
        <v>-0.32659932659932661</v>
      </c>
      <c r="I10" s="456">
        <f>IF(ISNUMBER(((NºAsuntos!I10/NºAsuntos!G10)-Datos!BE10)/Datos!BE10),((NºAsuntos!I10/NºAsuntos!G10)-Datos!BE10)/Datos!BE10," - ")</f>
        <v>-9.5555555555555616E-2</v>
      </c>
      <c r="J10" s="461">
        <f>IF(ISNUMBER((('Resol  Asuntos'!D10/NºAsuntos!G10)-Datos!BF10)/Datos!BF10),(('Resol  Asuntos'!D10/NºAsuntos!G10)-Datos!BF10)/Datos!BF10," - ")</f>
        <v>0.56444444444444442</v>
      </c>
      <c r="K10" s="462">
        <f>IF(ISNUMBER((((NºAsuntos!C10+NºAsuntos!E10)/NºAsuntos!G10)-Datos!BG10)/Datos!BG10),(((NºAsuntos!C10+NºAsuntos!E10)/NºAsuntos!G10)-Datos!BG10)/Datos!BG10," - ")</f>
        <v>-5.9310344827586167E-2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0.14868624420401855</v>
      </c>
      <c r="C12" s="456">
        <f>IF(ISNUMBER(
   IF(J_V="SI",(Datos!J12-Datos!T12)/Datos!T12,(Datos!J12+Datos!Z12-(Datos!T12+Datos!AH12))/(Datos!T12+Datos!AH12))
     ),IF(J_V="SI",(Datos!J12-Datos!T12)/Datos!T12,(Datos!J12+Datos!Z12-(Datos!T12+Datos!AH12))/(Datos!T12+Datos!AH12))," - ")</f>
        <v>0.73837444399514762</v>
      </c>
      <c r="D12" s="456">
        <f>IF(ISNUMBER(
   IF(J_V="SI",(Datos!K12-Datos!U12)/Datos!U12,(Datos!K12+Datos!AA12-(Datos!U12+Datos!AI12))/(Datos!U12+Datos!AI12))
     ),IF(J_V="SI",(Datos!K12-Datos!U12)/Datos!U12,(Datos!K12+Datos!AA12-(Datos!U12+Datos!AI12))/(Datos!U12+Datos!AI12))," - ")</f>
        <v>0.26569506726457398</v>
      </c>
      <c r="E12" s="456">
        <f>IF(ISNUMBER(
   IF(J_V="SI",(Datos!L12-Datos!V12)/Datos!V12,(Datos!L12+Datos!AB12-(Datos!V12+Datos!AJ12))/(Datos!V12+Datos!AJ12))
     ),IF(J_V="SI",(Datos!L12-Datos!V12)/Datos!V12,(Datos!L12+Datos!AB12-(Datos!V12+Datos!AJ12))/(Datos!V12+Datos!AJ12))," - ")</f>
        <v>0.29382676662944646</v>
      </c>
      <c r="F12" s="456">
        <f>IF(ISNUMBER((Datos!M12-Datos!W12)/Datos!W12),(Datos!M12-Datos!W12)/Datos!W12," - ")</f>
        <v>0.19444444444444445</v>
      </c>
      <c r="G12" s="457">
        <f>IF(ISNUMBER((Datos!N12-Datos!X12)/Datos!X12),(Datos!N12-Datos!X12)/Datos!X12," - ")</f>
        <v>0.39057239057239057</v>
      </c>
      <c r="H12" s="455">
        <f>IF(ISNUMBER(((NºAsuntos!G12/NºAsuntos!E12)-Datos!BD12)/Datos!BD12),((NºAsuntos!G12/NºAsuntos!E12)-Datos!BD12)/Datos!BD12," - ")</f>
        <v>-0.27190883895201401</v>
      </c>
      <c r="I12" s="456">
        <f>IF(ISNUMBER(((NºAsuntos!I12/NºAsuntos!G12)-Datos!BE12)/Datos!BE12),((NºAsuntos!I12/NºAsuntos!G12)-Datos!BE12)/Datos!BE12," - ")</f>
        <v>2.2226285060643319E-2</v>
      </c>
      <c r="J12" s="461">
        <f>IF(ISNUMBER((('Resol  Asuntos'!D12/NºAsuntos!G12)-Datos!BF12)/Datos!BF12),(('Resol  Asuntos'!D12/NºAsuntos!G12)-Datos!BF12)/Datos!BF12," - ")</f>
        <v>-0.80935225694599766</v>
      </c>
      <c r="K12" s="462">
        <f>IF(ISNUMBER((((NºAsuntos!C12+NºAsuntos!E12)/NºAsuntos!G12)-Datos!BG12)/Datos!BG12),(((NºAsuntos!C12+NºAsuntos!E12)/NºAsuntos!G12)-Datos!BG12)/Datos!BG12," - ")</f>
        <v>3.6388813038625636E-2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0.14665233415233414</v>
      </c>
      <c r="C13" s="855">
        <f>IF(ISNUMBER(
   IF(J_V="SI",(Datos!J13-Datos!T13)/Datos!T13,(Datos!J13+Datos!Z13-(Datos!T13+Datos!AH13))/(Datos!T13+Datos!AH13))
     ),IF(J_V="SI",(Datos!J13-Datos!T13)/Datos!T13,(Datos!J13+Datos!Z13-(Datos!T13+Datos!AH13))/(Datos!T13+Datos!AH13))," - ")</f>
        <v>0.73804740859783047</v>
      </c>
      <c r="D13" s="855">
        <f>IF(ISNUMBER(
   IF(J_V="SI",(Datos!K13-Datos!U13)/Datos!U13,(Datos!K13+Datos!AA13-(Datos!U13+Datos!AI13))/(Datos!U13+Datos!AI13))
     ),IF(J_V="SI",(Datos!K13-Datos!U13)/Datos!U13,(Datos!K13+Datos!AA13-(Datos!U13+Datos!AI13))/(Datos!U13+Datos!AI13))," - ")</f>
        <v>0.26464047442550037</v>
      </c>
      <c r="E13" s="855">
        <f>IF(ISNUMBER(
   IF(J_V="SI",(Datos!L13-Datos!V13)/Datos!V13,(Datos!L13+Datos!AB13-(Datos!V13+Datos!AJ13))/(Datos!V13+Datos!AJ13))
     ),IF(J_V="SI",(Datos!L13-Datos!V13)/Datos!V13,(Datos!L13+Datos!AB13-(Datos!V13+Datos!AJ13))/(Datos!V13+Datos!AJ13))," - ")</f>
        <v>0.29230769230769232</v>
      </c>
      <c r="F13" s="856">
        <f>IF(ISNUMBER((Datos!M13-Datos!W13)/Datos!W13),(Datos!M13-Datos!W13)/Datos!W13," - ")</f>
        <v>0.20867208672086721</v>
      </c>
      <c r="G13" s="857">
        <f>IF(ISNUMBER((Datos!N13-Datos!X13)/Datos!X13),(Datos!N13-Datos!X13)/Datos!X13," - ")</f>
        <v>0.38706079196876741</v>
      </c>
      <c r="H13" s="857">
        <f>IF(ISNUMBER(((NºAsuntos!G13/NºAsuntos!E13)-Datos!BD13)/Datos!BD13),((NºAsuntos!G13/NºAsuntos!E13)-Datos!BD13)/Datos!BD13," - ")</f>
        <v>-0.27237860821889265</v>
      </c>
      <c r="I13" s="857">
        <f>IF(ISNUMBER(((NºAsuntos!I13/NºAsuntos!G13)-Datos!BE13)/Datos!BE13),((NºAsuntos!I13/NºAsuntos!G13)-Datos!BE13)/Datos!BE13," - ")</f>
        <v>2.1877536297231617E-2</v>
      </c>
      <c r="J13" s="857">
        <f>IF(ISNUMBER((('Resol  Asuntos'!D13/NºAsuntos!G13)-Datos!BF13)/Datos!BF13),(('Resol  Asuntos'!D13/NºAsuntos!G13)-Datos!BF13)/Datos!BF13," - ")</f>
        <v>-0.80308799435499767</v>
      </c>
      <c r="K13" s="857">
        <f>IF(ISNUMBER((((NºAsuntos!C13+NºAsuntos!E13)/NºAsuntos!G13)-Datos!BG13)/Datos!BG13),(((NºAsuntos!C13+NºAsuntos!E13)/NºAsuntos!G13)-Datos!BG13)/Datos!BG13," - ")</f>
        <v>3.601599301262999E-2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-5.3629469122426866E-2</v>
      </c>
      <c r="C16" s="456">
        <f>IF(ISNUMBER(
   IF(D_I="SI",(Datos!J16-Datos!T16)/Datos!T16,(Datos!J16+Datos!AD16-(Datos!T16+Datos!AL16))/(Datos!T16+Datos!AL16))
     ),IF(D_I="SI",(Datos!J16-Datos!T16)/Datos!T16,(Datos!J16+Datos!AD16-(Datos!T16+Datos!AL16))/(Datos!T16+Datos!AL16))," - ")</f>
        <v>5.3724053724053727E-2</v>
      </c>
      <c r="D16" s="456">
        <f>IF(ISNUMBER(
   IF(D_I="SI",(Datos!K16-Datos!U16)/Datos!U16,(Datos!K16+Datos!AE16-(Datos!U16+Datos!AM16))/(Datos!U16+Datos!AM16))
     ),IF(D_I="SI",(Datos!K16-Datos!U16)/Datos!U16,(Datos!K16+Datos!AE16-(Datos!U16+Datos!AM16))/(Datos!U16+Datos!AM16))," - ")</f>
        <v>-3.5794183445190156E-2</v>
      </c>
      <c r="E16" s="456">
        <f>IF(ISNUMBER(
   IF(D_I="SI",(Datos!L16-Datos!V16)/Datos!V16,(Datos!L16+Datos!AF16-(Datos!V16+Datos!AN16))/(Datos!V16+Datos!AN16))
     ),IF(D_I="SI",(Datos!L16-Datos!V16)/Datos!V16,(Datos!L16+Datos!AF16-(Datos!V16+Datos!AN16))/(Datos!V16+Datos!AN16))," - ")</f>
        <v>-2.0737327188940093E-2</v>
      </c>
      <c r="F16" s="456">
        <f>IF(ISNUMBER((Datos!M16-Datos!W16)/Datos!W16),(Datos!M16-Datos!W16)/Datos!W16," - ")</f>
        <v>9.2233009708737865E-2</v>
      </c>
      <c r="G16" s="457">
        <f>IF(ISNUMBER((Datos!N16-Datos!X16)/Datos!X16),(Datos!N16-Datos!X16)/Datos!X16," - ")</f>
        <v>-1.4691478942213516E-2</v>
      </c>
      <c r="H16" s="455">
        <f>IF(ISNUMBER(((NºAsuntos!G16/NºAsuntos!E16)-Datos!BD16)/Datos!BD16),((NºAsuntos!G16/NºAsuntos!E16)-Datos!BD16)/Datos!BD16," - ")</f>
        <v>-8.4954155552271884E-2</v>
      </c>
      <c r="I16" s="456">
        <f>IF(ISNUMBER(((NºAsuntos!I16/NºAsuntos!G16)-Datos!BE16)/Datos!BE16),((NºAsuntos!I16/NºAsuntos!G16)-Datos!BE16)/Datos!BE16," - ")</f>
        <v>1.5615811476899742E-2</v>
      </c>
      <c r="J16" s="461">
        <f>IF(ISNUMBER((('Resol  Asuntos'!D16/NºAsuntos!G16)-Datos!BF16)/Datos!BF16),(('Resol  Asuntos'!D16/NºAsuntos!G16)-Datos!BF16)/Datos!BF16," - ")</f>
        <v>0.13277994278377228</v>
      </c>
      <c r="K16" s="462">
        <f>IF(ISNUMBER((((NºAsuntos!C16+NºAsuntos!E16)/NºAsuntos!G16)-Datos!BG16)/Datos!BG16),(((NºAsuntos!C16+NºAsuntos!E16)/NºAsuntos!G16)-Datos!BG16)/Datos!BG16," - ")</f>
        <v>3.3848471367950661E-2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3.7344398340248962E-2</v>
      </c>
      <c r="D17" s="456">
        <f>IF(ISNUMBER(
   IF(D_I="SI",(Datos!K17-Datos!U17)/Datos!U17,(Datos!K17+Datos!AE17-(Datos!U17+Datos!AM17))/(Datos!U17+Datos!AM17))
     ),IF(D_I="SI",(Datos!K17-Datos!U17)/Datos!U17,(Datos!K17+Datos!AE17-(Datos!U17+Datos!AM17))/(Datos!U17+Datos!AM17))," - ")</f>
        <v>7.9166666666666663E-2</v>
      </c>
      <c r="E17" s="456">
        <f>IF(ISNUMBER(
   IF(D_I="SI",(Datos!L17-Datos!V17)/Datos!V17,(Datos!L17+Datos!AF17-(Datos!V17+Datos!AN17))/(Datos!V17+Datos!AN17))
     ),IF(D_I="SI",(Datos!L17-Datos!V17)/Datos!V17,(Datos!L17+Datos!AF17-(Datos!V17+Datos!AN17))/(Datos!V17+Datos!AN17))," - ")</f>
        <v>0.39215686274509803</v>
      </c>
      <c r="F17" s="456">
        <f>IF(ISNUMBER((Datos!M17-Datos!W17)/Datos!W17),(Datos!M17-Datos!W17)/Datos!W17," - ")</f>
        <v>-0.23076923076923078</v>
      </c>
      <c r="G17" s="457">
        <f>IF(ISNUMBER((Datos!N17-Datos!X17)/Datos!X17),(Datos!N17-Datos!X17)/Datos!X17," - ")</f>
        <v>-0.13978494623655913</v>
      </c>
      <c r="H17" s="455">
        <f>IF(ISNUMBER(((NºAsuntos!G17/NºAsuntos!E17)-Datos!BD17)/Datos!BD17),((NºAsuntos!G17/NºAsuntos!E17)-Datos!BD17)/Datos!BD17," - ")</f>
        <v>4.0316666666666681E-2</v>
      </c>
      <c r="I17" s="456">
        <f>IF(ISNUMBER(((NºAsuntos!I17/NºAsuntos!G17)-Datos!BE17)/Datos!BE17),((NºAsuntos!I17/NºAsuntos!G17)-Datos!BE17)/Datos!BE17," - ")</f>
        <v>0.29002952532364301</v>
      </c>
      <c r="J17" s="461">
        <f>IF(ISNUMBER((('Resol  Asuntos'!D17/NºAsuntos!G17)-Datos!BF17)/Datos!BF17),(('Resol  Asuntos'!D17/NºAsuntos!G17)-Datos!BF17)/Datos!BF17," - ")</f>
        <v>-0.28719928719928722</v>
      </c>
      <c r="K17" s="462">
        <f>IF(ISNUMBER((((NºAsuntos!C17+NºAsuntos!E17)/NºAsuntos!G17)-Datos!BG17)/Datos!BG17),(((NºAsuntos!C17+NºAsuntos!E17)/NºAsuntos!G17)-Datos!BG17)/Datos!BG17," - ")</f>
        <v>5.0829916809298242E-2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-3.6392405063291139E-2</v>
      </c>
      <c r="C18" s="855">
        <f>IF(ISNUMBER(
   IF(Criterios!B14="SI",(Datos!J18-Datos!T18)/Datos!T18,(Datos!J18+Datos!AD18-(Datos!T18+Datos!AL18))/(Datos!T18+Datos!AL18))
     ),IF(Criterios!B14="SI",(Datos!J18-Datos!T18)/Datos!T18,(Datos!J18+Datos!AD18-(Datos!T18+Datos!AL18))/(Datos!T18+Datos!AL18))," - ")</f>
        <v>5.1623203831825441E-2</v>
      </c>
      <c r="D18" s="855">
        <f>IF(ISNUMBER(
   IF(Criterios!B14="SI",(Datos!K18-Datos!U18)/Datos!U18,(Datos!K18+Datos!AE18-(Datos!U18+Datos!AM18))/(Datos!U18+Datos!AM18))
     ),IF(Criterios!B14="SI",(Datos!K18-Datos!U18)/Datos!U18,(Datos!K18+Datos!AE18-(Datos!U18+Datos!AM18))/(Datos!U18+Datos!AM18))," - ")</f>
        <v>-2.2189349112426034E-2</v>
      </c>
      <c r="E18" s="855">
        <f>IF(ISNUMBER(
   IF(Criterios!B14="SI",(Datos!L18-Datos!V18)/Datos!V18,(Datos!L18+Datos!AF18-(Datos!V18+Datos!AN18))/(Datos!V18+Datos!AN18))
     ),IF(Criterios!B14="SI",(Datos!L18-Datos!V18)/Datos!V18,(Datos!L18+Datos!AF18-(Datos!V18+Datos!AN18))/(Datos!V18+Datos!AN18))," - ")</f>
        <v>-8.9535534415221048E-3</v>
      </c>
      <c r="F18" s="856">
        <f>IF(ISNUMBER((Datos!M18-Datos!W18)/Datos!W18),(Datos!M18-Datos!W18)/Datos!W18," - ")</f>
        <v>5.6034482758620691E-2</v>
      </c>
      <c r="G18" s="857">
        <f>IF(ISNUMBER((Datos!N18-Datos!X18)/Datos!X18),(Datos!N18-Datos!X18)/Datos!X18," - ")</f>
        <v>-2.5134649910233394E-2</v>
      </c>
      <c r="H18" s="857">
        <f>IF(ISNUMBER(((NºAsuntos!G18/NºAsuntos!E18)-Datos!BD18)/Datos!BD18),((NºAsuntos!G18/NºAsuntos!E18)-Datos!BD18)/Datos!BD18," - ")</f>
        <v>-7.0189163452554881E-2</v>
      </c>
      <c r="I18" s="857">
        <f>IF(ISNUMBER(((NºAsuntos!I18/NºAsuntos!G18)-Datos!BE18)/Datos!BE18),((NºAsuntos!I18/NºAsuntos!G18)-Datos!BE18)/Datos!BE18," - ")</f>
        <v>1.3536154120319244E-2</v>
      </c>
      <c r="J18" s="857">
        <f>IF(ISNUMBER((('Resol  Asuntos'!D18/NºAsuntos!G18)-Datos!BF18)/Datos!BF18),(('Resol  Asuntos'!D18/NºAsuntos!G18)-Datos!BF18)/Datos!BF18," - ")</f>
        <v>7.9998956648755795E-2</v>
      </c>
      <c r="K18" s="857">
        <f>IF(ISNUMBER((((NºAsuntos!C18+NºAsuntos!E18)/NºAsuntos!G18)-Datos!BG18)/Datos!BG18),(((NºAsuntos!C18+NºAsuntos!E18)/NºAsuntos!G18)-Datos!BG18)/Datos!BG18," - ")</f>
        <v>3.0278426225566358E-2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0.10537583254043768</v>
      </c>
      <c r="C19" s="802">
        <f>IF(ISNUMBER(
   IF(J_V="SI",(Datos!J19-Datos!T19)/Datos!T19,(Datos!J19+Datos!Z19-(Datos!T19+Datos!AH19))/(Datos!T19+Datos!AH19))
     ),IF(J_V="SI",(Datos!J19-Datos!T19)/Datos!T19,(Datos!J19+Datos!Z19-(Datos!T19+Datos!AH19))/(Datos!T19+Datos!AH19))," - ")</f>
        <v>0.44276556776556775</v>
      </c>
      <c r="D19" s="802">
        <f>IF(ISNUMBER(
   IF(J_V="SI",(Datos!K19-Datos!U19)/Datos!U19,(Datos!K19+Datos!AA19-(Datos!U19+Datos!AI19))/(Datos!U19+Datos!AI19))
     ),IF(J_V="SI",(Datos!K19-Datos!U19)/Datos!U19,(Datos!K19+Datos!AA19-(Datos!U19+Datos!AI19))/(Datos!U19+Datos!AI19))," - ")</f>
        <v>0.14155734236140499</v>
      </c>
      <c r="E19" s="802">
        <f>IF(ISNUMBER(
   IF(J_V="SI",(Datos!L19-Datos!V19)/Datos!V19,(Datos!L19+Datos!AB19-(Datos!V19+Datos!AJ19))/(Datos!V19+Datos!AJ19))
     ),IF(J_V="SI",(Datos!L19-Datos!V19)/Datos!V19,(Datos!L19+Datos!AB19-(Datos!V19+Datos!AJ19))/(Datos!V19+Datos!AJ19))," - ")</f>
        <v>0.22577854671280276</v>
      </c>
      <c r="F19" s="803">
        <f>IF(ISNUMBER((Datos!M19-Datos!W19)/Datos!W19),(Datos!M19-Datos!W19)/Datos!W19," - ")</f>
        <v>0.14975041597337771</v>
      </c>
      <c r="G19" s="804">
        <f>IF(ISNUMBER((Datos!N19-Datos!X19)/Datos!X19),(Datos!N19-Datos!X19)/Datos!X19," - ")</f>
        <v>0.22910216718266255</v>
      </c>
      <c r="H19" s="805">
        <f>IF(ISNUMBER((Tasas!B19-Datos!BD19)/Datos!BD19),(Tasas!B19-Datos!BD19)/Datos!BD19," - ")</f>
        <v>-0.20877142630361514</v>
      </c>
      <c r="I19" s="806">
        <f>IF(ISNUMBER((Tasas!C19-Datos!BE19)/Datos!BE19),(Tasas!C19-Datos!BE19)/Datos!BE19," - ")</f>
        <v>7.3777462792345788E-2</v>
      </c>
      <c r="J19" s="807">
        <f>IF(ISNUMBER((Tasas!D19-Datos!BF19)/Datos!BF19),(Tasas!D19-Datos!BF19)/Datos!BF19," - ")</f>
        <v>-0.70078426180481457</v>
      </c>
      <c r="K19" s="807">
        <f>IF(ISNUMBER((Tasas!E19-Datos!BG19)/Datos!BG19),(Tasas!E19-Datos!BG19)/Datos!BG19," - ")</f>
        <v>6.9351767650535745E-2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LM7IofJEDT7ViloOl23ICWUu7JPp5EBZ9qXJ2Fu8V/8n1Ptlt7MLLl/6mFwymq7kJRZKAUOVH6tu7rMZvkd/g==" saltValue="iigFHgpfel8S3Odspnkl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COLLADO VILLALBA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0.92592592592592593</v>
      </c>
      <c r="C10" s="443">
        <f>IF(ISNUMBER(NºAsuntos!I10/NºAsuntos!G10),NºAsuntos!I10/NºAsuntos!G10," - ")</f>
        <v>1.48</v>
      </c>
      <c r="D10" s="444">
        <f>IF(ISNUMBER('Resol  Asuntos'!D10/NºAsuntos!G10),'Resol  Asuntos'!D10/NºAsuntos!G10," - ")</f>
        <v>0.64</v>
      </c>
      <c r="E10" s="445">
        <f>IF(ISNUMBER((NºAsuntos!C10+NºAsuntos!E10)/NºAsuntos!G10),(NºAsuntos!C10+NºAsuntos!E10)/NºAsuntos!G10," - ")</f>
        <v>2.48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0.78785764131193303</v>
      </c>
      <c r="C12" s="443">
        <f>IF(ISNUMBER(NºAsuntos!I12/NºAsuntos!G12),NºAsuntos!I12/NºAsuntos!G12," - ")</f>
        <v>2.394744611750812</v>
      </c>
      <c r="D12" s="444">
        <f>IF(ISNUMBER('Resol  Asuntos'!D12/NºAsuntos!G12),'Resol  Asuntos'!D12/NºAsuntos!G12," - ")</f>
        <v>0.12695600826690287</v>
      </c>
      <c r="E12" s="445">
        <f>IF(ISNUMBER((NºAsuntos!C12+NºAsuntos!E12)/NºAsuntos!G12),(NºAsuntos!C12+NºAsuntos!E12)/NºAsuntos!G12," - ")</f>
        <v>3.4635370534396221</v>
      </c>
      <c r="G12" s="463"/>
    </row>
    <row r="13" spans="1:7" ht="14.25" thickTop="1" thickBot="1">
      <c r="A13" s="848" t="str">
        <f>Datos!A13</f>
        <v>TOTAL</v>
      </c>
      <c r="B13" s="858">
        <f>IF(ISNUMBER(NºAsuntos!G13/NºAsuntos!E13),NºAsuntos!G13/NºAsuntos!E13," - ")</f>
        <v>0.78871937124364311</v>
      </c>
      <c r="C13" s="859">
        <f>IF(ISNUMBER(NºAsuntos!I13/NºAsuntos!G13),NºAsuntos!I13/NºAsuntos!G13," - ")</f>
        <v>2.3880422039859321</v>
      </c>
      <c r="D13" s="860">
        <f>IF(ISNUMBER('Resol  Asuntos'!D13/NºAsuntos!G13),'Resol  Asuntos'!D13/NºAsuntos!G13," - ")</f>
        <v>0.13071512309495897</v>
      </c>
      <c r="E13" s="861">
        <f>IF(ISNUMBER((NºAsuntos!C13+NºAsuntos!E13)/NºAsuntos!G13),(NºAsuntos!C13+NºAsuntos!E13)/NºAsuntos!G13," - ")</f>
        <v>3.4563305978898007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0.99884125144843572</v>
      </c>
      <c r="C16" s="443">
        <f>IF(ISNUMBER(NºAsuntos!I16/NºAsuntos!G16),NºAsuntos!I16/NºAsuntos!G16," - ")</f>
        <v>0.9860788863109049</v>
      </c>
      <c r="D16" s="444">
        <f>IF(ISNUMBER('Resol  Asuntos'!D16/NºAsuntos!G16),'Resol  Asuntos'!D16/NºAsuntos!G16," - ")</f>
        <v>0.13051044083526683</v>
      </c>
      <c r="E16" s="445">
        <f>IF(ISNUMBER((NºAsuntos!C16+NºAsuntos!E16)/NºAsuntos!G16),(NºAsuntos!C16+NºAsuntos!E16)/NºAsuntos!G16," - ")</f>
        <v>2.0145011600928076</v>
      </c>
      <c r="G16" s="463"/>
    </row>
    <row r="17" spans="1:7" ht="13.5" thickBot="1">
      <c r="A17" s="402" t="str">
        <f>Datos!A17</f>
        <v>Jdos. Violencia contra la mujer</v>
      </c>
      <c r="B17" s="442">
        <f>IF(ISNUMBER(NºAsuntos!G17/NºAsuntos!E17),NºAsuntos!G17/NºAsuntos!E17," - ")</f>
        <v>1.036</v>
      </c>
      <c r="C17" s="443">
        <f>IF(ISNUMBER(NºAsuntos!I17/NºAsuntos!G17),NºAsuntos!I17/NºAsuntos!G17," - ")</f>
        <v>0.27413127413127414</v>
      </c>
      <c r="D17" s="444">
        <f>IF(ISNUMBER('Resol  Asuntos'!D17/NºAsuntos!G17),'Resol  Asuntos'!D17/NºAsuntos!G17," - ")</f>
        <v>7.7220077220077218E-2</v>
      </c>
      <c r="E17" s="445">
        <f>IF(ISNUMBER((NºAsuntos!C17+NºAsuntos!E17)/NºAsuntos!G17),(NºAsuntos!C17+NºAsuntos!E17)/NºAsuntos!G17," - ")</f>
        <v>1.274131274131274</v>
      </c>
      <c r="G17" s="463"/>
    </row>
    <row r="18" spans="1:7" ht="14.25" thickTop="1" thickBot="1">
      <c r="A18" s="848" t="str">
        <f>Datos!A18</f>
        <v>TOTAL</v>
      </c>
      <c r="B18" s="858">
        <f>IF(ISNUMBER(NºAsuntos!G18/NºAsuntos!E18),NºAsuntos!G18/NºAsuntos!E18," - ")</f>
        <v>1.0035425101214575</v>
      </c>
      <c r="C18" s="859">
        <f>IF(ISNUMBER(NºAsuntos!I18/NºAsuntos!G18),NºAsuntos!I18/NºAsuntos!G18," - ")</f>
        <v>0.89309127584467973</v>
      </c>
      <c r="D18" s="862">
        <f>IF(ISNUMBER('Resol  Asuntos'!D18/NºAsuntos!G18),'Resol  Asuntos'!D18/NºAsuntos!G18," - ")</f>
        <v>0.12355017650025214</v>
      </c>
      <c r="E18" s="861">
        <f>IF(ISNUMBER((NºAsuntos!C18+NºAsuntos!E18)/NºAsuntos!G18),(NºAsuntos!C18+NºAsuntos!E18)/NºAsuntos!G18," - ")</f>
        <v>1.9178013111447303</v>
      </c>
      <c r="G18" s="463"/>
    </row>
    <row r="19" spans="1:7" ht="15.75" customHeight="1" thickTop="1" thickBot="1">
      <c r="A19" s="793" t="str">
        <f>Datos!A19</f>
        <v>TOTAL JURISDICCIONES</v>
      </c>
      <c r="B19" s="808">
        <f>IF(ISNUMBER(NºAsuntos!G19/NºAsuntos!E19),NºAsuntos!G19/NºAsuntos!E19," - ")</f>
        <v>0.85607743573468742</v>
      </c>
      <c r="C19" s="809">
        <f>IF(ISNUMBER(NºAsuntos!I19/NºAsuntos!G19),NºAsuntos!I19/NºAsuntos!G19," - ")</f>
        <v>1.8385542168674698</v>
      </c>
      <c r="D19" s="810">
        <f>IF(ISNUMBER('Resol  Asuntos'!D19/NºAsuntos!G19),'Resol  Asuntos'!D19/NºAsuntos!G19," - ")</f>
        <v>0.12808155699721965</v>
      </c>
      <c r="E19" s="811">
        <f>IF(ISNUMBER((NºAsuntos!C19+NºAsuntos!E19)/NºAsuntos!G19),(NºAsuntos!C19+NºAsuntos!E19)/NºAsuntos!G19," - ")</f>
        <v>2.8908248378127896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FaP9pOxt0wdvJHrJLA2uyvT79T+UndZ+7m9tWGMi+Ver54C+genbNp71vVvx7BUqLAac57c7kh7y3t9btMGww==" saltValue="0cwQovwzpn0gHq6QXgBn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COLLADO VILLALBA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2</v>
      </c>
      <c r="Y10" s="334">
        <f t="shared" ref="Y10:Y12" si="0">SUM(W10:X10)</f>
        <v>27</v>
      </c>
      <c r="Z10" s="335" t="str">
        <f>IF(ISNUMBER(Datos!CC10),Datos!CC10," - ")</f>
        <v xml:space="preserve"> - </v>
      </c>
      <c r="AA10" s="332">
        <f>IF(ISNUMBER(Datos!L10),Datos!L10,"-")</f>
        <v>37</v>
      </c>
      <c r="AB10" s="334">
        <f>IF(ISNUMBER(Datos!R10),Datos!R10," - ")</f>
        <v>82</v>
      </c>
      <c r="AC10" s="334">
        <f t="shared" ref="AC10:AC12" si="1">IF(ISNUMBER(AA10+AB10),AA10+AB10," - ")</f>
        <v>119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0.92592592592592593</v>
      </c>
      <c r="AM10" s="260">
        <f>IF(ISNUMBER(((NºAsuntos!I10/NºAsuntos!G10)*11)/factor_trimestre),((NºAsuntos!I10/NºAsuntos!G10)*11)/factor_trimestre," - ")</f>
        <v>4.4400000000000004</v>
      </c>
      <c r="AN10" s="244">
        <f>IF(ISNUMBER('Resol  Asuntos'!D10/NºAsuntos!G10),'Resol  Asuntos'!D10/NºAsuntos!G10," - ")</f>
        <v>0.64</v>
      </c>
      <c r="AO10" s="245">
        <f>IF(ISNUMBER((NºAsuntos!C10+NºAsuntos!E10)/NºAsuntos!G10),(NºAsuntos!C10+NºAsuntos!E10)/NºAsuntos!G10," - ")</f>
        <v>2.48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328</v>
      </c>
      <c r="Y12" s="334">
        <f t="shared" si="0"/>
        <v>328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430</v>
      </c>
      <c r="AJ12" s="229" t="str">
        <f>IF(ISNUMBER(Datos!BW12),Datos!BW12," - ")</f>
        <v xml:space="preserve"> - </v>
      </c>
      <c r="AK12" s="228" t="str">
        <f>IF(ISNUMBER(Datos!BX12),Datos!BX12," - ")</f>
        <v xml:space="preserve"> - </v>
      </c>
      <c r="AL12" s="243">
        <f>IF(ISNUMBER(NºAsuntos!G12/NºAsuntos!E12),NºAsuntos!G12/NºAsuntos!E12," - ")</f>
        <v>0.78785764131193303</v>
      </c>
      <c r="AM12" s="260">
        <f>IF(ISNUMBER(((NºAsuntos!I12/NºAsuntos!G12)*11)/factor_trimestre),((NºAsuntos!I12/NºAsuntos!G12)*11)/factor_trimestre," - ")</f>
        <v>7.184233835252436</v>
      </c>
      <c r="AN12" s="244">
        <f>IF(ISNUMBER('Resol  Asuntos'!D12/NºAsuntos!G12),'Resol  Asuntos'!D12/NºAsuntos!G12," - ")</f>
        <v>0.12695600826690287</v>
      </c>
      <c r="AO12" s="245">
        <f>IF(ISNUMBER((NºAsuntos!C12+NºAsuntos!E12)/NºAsuntos!G12),(NºAsuntos!C12+NºAsuntos!E12)/NºAsuntos!G12," - ")</f>
        <v>3.4635370534396221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35</v>
      </c>
      <c r="G13" s="866">
        <f t="shared" si="3"/>
        <v>35</v>
      </c>
      <c r="H13" s="865">
        <f t="shared" si="3"/>
        <v>0</v>
      </c>
      <c r="I13" s="867">
        <f t="shared" si="3"/>
        <v>0</v>
      </c>
      <c r="J13" s="867">
        <f t="shared" si="3"/>
        <v>0</v>
      </c>
      <c r="K13" s="867">
        <f t="shared" si="3"/>
        <v>0</v>
      </c>
      <c r="L13" s="867">
        <f t="shared" si="3"/>
        <v>359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330</v>
      </c>
      <c r="Y13" s="868">
        <f t="shared" si="4"/>
        <v>355</v>
      </c>
      <c r="Z13" s="868">
        <f t="shared" si="4"/>
        <v>0</v>
      </c>
      <c r="AA13" s="868">
        <f t="shared" si="4"/>
        <v>37</v>
      </c>
      <c r="AB13" s="868">
        <f t="shared" si="4"/>
        <v>8012</v>
      </c>
      <c r="AC13" s="868">
        <f t="shared" si="4"/>
        <v>119</v>
      </c>
      <c r="AD13" s="868">
        <f t="shared" si="4"/>
        <v>0</v>
      </c>
      <c r="AE13" s="872">
        <f t="shared" si="4"/>
        <v>0</v>
      </c>
      <c r="AF13" s="865">
        <f t="shared" si="4"/>
        <v>0</v>
      </c>
      <c r="AG13" s="873">
        <f t="shared" si="4"/>
        <v>0</v>
      </c>
      <c r="AH13" s="870">
        <f t="shared" si="4"/>
        <v>0</v>
      </c>
      <c r="AI13" s="865">
        <f t="shared" si="4"/>
        <v>446</v>
      </c>
      <c r="AJ13" s="867">
        <f t="shared" si="4"/>
        <v>0</v>
      </c>
      <c r="AK13" s="870">
        <f>SUBTOTAL(9,AK9:AK12)</f>
        <v>0</v>
      </c>
      <c r="AL13" s="874">
        <f>IF(ISNUMBER(NºAsuntos!G13/NºAsuntos!E13),NºAsuntos!G13/NºAsuntos!E13," - ")</f>
        <v>0.78871937124364311</v>
      </c>
      <c r="AM13" s="874">
        <f>IF(ISNUMBER(((NºAsuntos!I13/NºAsuntos!G13)*11)/factor_trimestre),((NºAsuntos!I13/NºAsuntos!G13)*11)/factor_trimestre," - ")</f>
        <v>7.1641266119577969</v>
      </c>
      <c r="AN13" s="875">
        <f>IF(ISNUMBER('Resol  Asuntos'!D13/NºAsuntos!G13),'Resol  Asuntos'!D13/NºAsuntos!G13," - ")</f>
        <v>0.13071512309495897</v>
      </c>
      <c r="AO13" s="876">
        <f>IF(ISNUMBER((NºAsuntos!C13+NºAsuntos!E13)/NºAsuntos!G13),(NºAsuntos!C13+NºAsuntos!E13)/NºAsuntos!G13," - ")</f>
        <v>3.4563305978898007</v>
      </c>
      <c r="AP13" s="877" t="str">
        <f t="shared" si="2"/>
        <v xml:space="preserve"> - </v>
      </c>
      <c r="AQ13" s="877">
        <f>IF(ISNUMBER((H13-W13+K13)/(F13)),(H13-W13+K13)/(F13)," - ")</f>
        <v>-0.7142857142857143</v>
      </c>
      <c r="AR13" s="878">
        <f>IF(ISNUMBER((Datos!P13-Datos!Q13)/(Datos!R13-Datos!P13+Datos!Q13)),(Datos!P13-Datos!Q13)/(Datos!R13-Datos!P13+Datos!Q13)," - ")</f>
        <v>3.6327195289991231E-3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1698</v>
      </c>
      <c r="G16" s="333">
        <f>IF(ISNUMBER(IF(D_I="SI",Datos!I16,Datos!I16+Datos!AC16)),IF(D_I="SI",Datos!I16,Datos!I16+Datos!AC16)," - ")</f>
        <v>1747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1724</v>
      </c>
      <c r="X16" s="226">
        <f>IF(ISNUMBER(Datos!Q16),Datos!Q16," - ")</f>
        <v>52</v>
      </c>
      <c r="Y16" s="334">
        <f t="shared" ref="Y16:Y17" si="7">SUM(W16:X16)</f>
        <v>1776</v>
      </c>
      <c r="Z16" s="335" t="str">
        <f>IF(ISNUMBER(Datos!CC16),Datos!CC16," - ")</f>
        <v xml:space="preserve"> - </v>
      </c>
      <c r="AA16" s="332">
        <f>IF(ISNUMBER(IF(D_I="SI",Datos!L16,Datos!L16+Datos!AF16)),IF(D_I="SI",Datos!L16,Datos!L16+Datos!AF16)," - ")</f>
        <v>1700</v>
      </c>
      <c r="AB16" s="334">
        <f>IF(ISNUMBER(Datos!R16),Datos!R16," - ")</f>
        <v>353</v>
      </c>
      <c r="AC16" s="334">
        <f t="shared" si="6"/>
        <v>2053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225</v>
      </c>
      <c r="AJ16" s="231" t="str">
        <f>IF(ISNUMBER(Datos!BW16),Datos!BW16," - ")</f>
        <v xml:space="preserve"> - </v>
      </c>
      <c r="AK16" s="232" t="str">
        <f>IF(ISNUMBER(Datos!BX16),Datos!BX16," - ")</f>
        <v xml:space="preserve"> - </v>
      </c>
      <c r="AL16" s="243">
        <f>IF(ISNUMBER(NºAsuntos!G16/NºAsuntos!E16),NºAsuntos!G16/NºAsuntos!E16," - ")</f>
        <v>0.99884125144843572</v>
      </c>
      <c r="AM16" s="260">
        <f>IF(ISNUMBER(((NºAsuntos!I16/NºAsuntos!G16)*11)/factor_trimestre),((NºAsuntos!I16/NºAsuntos!G16)*11)/factor_trimestre," - ")</f>
        <v>2.9582366589327145</v>
      </c>
      <c r="AN16" s="244">
        <f>IF(ISNUMBER('Resol  Asuntos'!D16/NºAsuntos!G16),'Resol  Asuntos'!D16/NºAsuntos!G16," - ")</f>
        <v>0.13051044083526683</v>
      </c>
      <c r="AO16" s="245">
        <f>IF(ISNUMBER((NºAsuntos!C16+NºAsuntos!E16)/NºAsuntos!G16),(NºAsuntos!C16+NºAsuntos!E16)/NºAsuntos!G16," - ")</f>
        <v>2.0145011600928076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259</v>
      </c>
      <c r="X17" s="226">
        <f>IF(ISNUMBER(Datos!Q17),Datos!Q17," - ")</f>
        <v>3</v>
      </c>
      <c r="Y17" s="334">
        <f t="shared" si="7"/>
        <v>262</v>
      </c>
      <c r="Z17" s="335" t="str">
        <f>IF(ISNUMBER(Datos!CC17),Datos!CC17," - ")</f>
        <v xml:space="preserve"> - </v>
      </c>
      <c r="AA17" s="332">
        <f>IF(ISNUMBER(Datos!L17),Datos!L17,"-")</f>
        <v>71</v>
      </c>
      <c r="AB17" s="334">
        <f>IF(ISNUMBER(Datos!R17),Datos!R17," - ")</f>
        <v>10</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1.036</v>
      </c>
      <c r="AM17" s="260">
        <f>IF(ISNUMBER(((NºAsuntos!I17/NºAsuntos!G17)*11)/factor_trimestre),((NºAsuntos!I17/NºAsuntos!G17)*11)/factor_trimestre," - ")</f>
        <v>0.82239382239382242</v>
      </c>
      <c r="AN17" s="244">
        <f>IF(ISNUMBER('Resol  Asuntos'!D17/NºAsuntos!G17),'Resol  Asuntos'!D17/NºAsuntos!G17," - ")</f>
        <v>7.7220077220077218E-2</v>
      </c>
      <c r="AO17" s="245">
        <f>IF(ISNUMBER((NºAsuntos!C17+NºAsuntos!E17)/NºAsuntos!G17),(NºAsuntos!C17+NºAsuntos!E17)/NºAsuntos!G17," - ")</f>
        <v>1.274131274131274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1698</v>
      </c>
      <c r="G18" s="866">
        <f>SUBTOTAL(9,G15:G17)</f>
        <v>1827</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1983</v>
      </c>
      <c r="X18" s="867">
        <f t="shared" si="11"/>
        <v>55</v>
      </c>
      <c r="Y18" s="868">
        <f t="shared" si="11"/>
        <v>2038</v>
      </c>
      <c r="Z18" s="868">
        <f t="shared" si="11"/>
        <v>0</v>
      </c>
      <c r="AA18" s="868">
        <f t="shared" si="11"/>
        <v>1771</v>
      </c>
      <c r="AB18" s="868">
        <f t="shared" si="11"/>
        <v>363</v>
      </c>
      <c r="AC18" s="868">
        <f t="shared" si="11"/>
        <v>2134</v>
      </c>
      <c r="AD18" s="868">
        <f t="shared" si="11"/>
        <v>0</v>
      </c>
      <c r="AE18" s="872">
        <f t="shared" si="11"/>
        <v>0</v>
      </c>
      <c r="AF18" s="865">
        <f t="shared" si="11"/>
        <v>0</v>
      </c>
      <c r="AG18" s="873">
        <f t="shared" si="11"/>
        <v>0</v>
      </c>
      <c r="AH18" s="870">
        <f t="shared" si="11"/>
        <v>0</v>
      </c>
      <c r="AI18" s="865">
        <f t="shared" si="11"/>
        <v>245</v>
      </c>
      <c r="AJ18" s="867">
        <f t="shared" si="11"/>
        <v>0</v>
      </c>
      <c r="AK18" s="870">
        <f t="shared" si="11"/>
        <v>0</v>
      </c>
      <c r="AL18" s="874">
        <f>IF(ISNUMBER(NºAsuntos!G18/NºAsuntos!E18),NºAsuntos!G18/NºAsuntos!E18," - ")</f>
        <v>1.0035425101214575</v>
      </c>
      <c r="AM18" s="874">
        <f>IF(ISNUMBER(((NºAsuntos!I18/NºAsuntos!G18)*11)/factor_trimestre),((NºAsuntos!I18/NºAsuntos!G18)*11)/factor_trimestre," - ")</f>
        <v>2.6792738275340393</v>
      </c>
      <c r="AN18" s="875">
        <f>IF(ISNUMBER('Resol  Asuntos'!D18/NºAsuntos!G18),'Resol  Asuntos'!D18/NºAsuntos!G18," - ")</f>
        <v>0.12355017650025214</v>
      </c>
      <c r="AO18" s="876">
        <f>IF(ISNUMBER((NºAsuntos!C18+NºAsuntos!E18)/NºAsuntos!G18),(NºAsuntos!C18+NºAsuntos!E18)/NºAsuntos!G18," - ")</f>
        <v>1.9178013111447303</v>
      </c>
      <c r="AP18" s="877" t="str">
        <f t="shared" si="2"/>
        <v xml:space="preserve"> - </v>
      </c>
      <c r="AQ18" s="877">
        <f>IF(ISNUMBER((H18-W18+K18)/(F18)),(H18-W18+K18)/(F18)," - ")</f>
        <v>-1.167844522968198</v>
      </c>
      <c r="AR18" s="878">
        <f>IF(ISNUMBER((Datos!P18-Datos!Q18)/(Datos!R18-Datos!P18+Datos!Q18)),(Datos!P18-Datos!Q18)/(Datos!R18-Datos!P18+Datos!Q18)," - ")</f>
        <v>0.14511041009463724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1733</v>
      </c>
      <c r="G19" s="821">
        <f t="shared" si="13"/>
        <v>1862</v>
      </c>
      <c r="H19" s="820">
        <f t="shared" si="13"/>
        <v>0</v>
      </c>
      <c r="I19" s="822">
        <f t="shared" si="13"/>
        <v>0</v>
      </c>
      <c r="J19" s="822">
        <f t="shared" si="13"/>
        <v>0</v>
      </c>
      <c r="K19" s="881">
        <f t="shared" si="13"/>
        <v>0</v>
      </c>
      <c r="L19" s="822">
        <f t="shared" si="13"/>
        <v>460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2008</v>
      </c>
      <c r="X19" s="821">
        <f t="shared" si="14"/>
        <v>385</v>
      </c>
      <c r="Y19" s="828">
        <f t="shared" si="14"/>
        <v>2393</v>
      </c>
      <c r="Z19" s="828">
        <f t="shared" si="14"/>
        <v>0</v>
      </c>
      <c r="AA19" s="828">
        <f t="shared" si="14"/>
        <v>1808</v>
      </c>
      <c r="AB19" s="828">
        <f t="shared" si="14"/>
        <v>8375</v>
      </c>
      <c r="AC19" s="828">
        <f t="shared" si="14"/>
        <v>2253</v>
      </c>
      <c r="AD19" s="828">
        <f t="shared" si="14"/>
        <v>0</v>
      </c>
      <c r="AE19" s="830">
        <f t="shared" si="14"/>
        <v>0</v>
      </c>
      <c r="AF19" s="831">
        <f t="shared" si="14"/>
        <v>0</v>
      </c>
      <c r="AG19" s="832">
        <f t="shared" si="14"/>
        <v>0</v>
      </c>
      <c r="AH19" s="830">
        <f t="shared" si="14"/>
        <v>0</v>
      </c>
      <c r="AI19" s="820">
        <f t="shared" si="14"/>
        <v>691</v>
      </c>
      <c r="AJ19" s="820">
        <f t="shared" si="14"/>
        <v>0</v>
      </c>
      <c r="AK19" s="830">
        <f t="shared" si="14"/>
        <v>0</v>
      </c>
      <c r="AL19" s="884">
        <f>IF(ISNUMBER(NºAsuntos!G19/NºAsuntos!E19),NºAsuntos!G19/NºAsuntos!E19," - ")</f>
        <v>0.85607743573468742</v>
      </c>
      <c r="AM19" s="885">
        <f>IF(ISNUMBER(((NºAsuntos!I19/NºAsuntos!G19)*11)/factor_trimestre),((NºAsuntos!I19/NºAsuntos!G19)*11)/factor_trimestre," - ")</f>
        <v>5.51566265060241</v>
      </c>
      <c r="AN19" s="885">
        <f>IF(ISNUMBER('Resol  Asuntos'!D19/NºAsuntos!G19),'Resol  Asuntos'!D19/NºAsuntos!G19," - ")</f>
        <v>0.12808155699721965</v>
      </c>
      <c r="AO19" s="886">
        <f>IF(ISNUMBER((NºAsuntos!C19+NºAsuntos!E19)/NºAsuntos!G19),(NºAsuntos!C19+NºAsuntos!E19)/NºAsuntos!G19," - ")</f>
        <v>2.8908248378127896</v>
      </c>
      <c r="AP19" s="887" t="str">
        <f t="shared" si="2"/>
        <v xml:space="preserve"> - </v>
      </c>
      <c r="AQ19" s="888">
        <f>IF(OR(ISNUMBER(FIND("01",Criterios!A8,1)),ISNUMBER(FIND("02",Criterios!A8,1)),ISNUMBER(FIND("03",Criterios!A8,1)),ISNUMBER(FIND("04",Criterios!A8,1))),(I19-W19+K19)/(F19-K19),(H19-W19+K19)/(F19-K19))</f>
        <v>-1.1586843623773804</v>
      </c>
      <c r="AR19" s="889">
        <f>IF(ISNUMBER((Datos!P19-Datos!Q19)/(Datos!R19-Datos!P19+Datos!Q19)),(Datos!P19-Datos!Q19)/(Datos!R19-Datos!P19+Datos!Q19)," - ")</f>
        <v>9.0361445783132526E-3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960.13349766234762</v>
      </c>
      <c r="G21" s="253">
        <f>IF(ISNUMBER(STDEV(G8:G18)),STDEV(G8:G18),"-")</f>
        <v>951.99170164450481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967.87716162744539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188.04325743473672</v>
      </c>
      <c r="AJ21" s="252">
        <f t="shared" si="18"/>
        <v>0</v>
      </c>
      <c r="AK21" s="254">
        <f t="shared" si="18"/>
        <v>0</v>
      </c>
      <c r="AL21" s="249">
        <f t="shared" si="18"/>
        <v>0.11073383216695784</v>
      </c>
      <c r="AM21" s="250">
        <f t="shared" si="18"/>
        <v>2.5695025855307887</v>
      </c>
      <c r="AN21" s="250">
        <f t="shared" si="18"/>
        <v>0.21417021329273947</v>
      </c>
      <c r="AO21" s="251">
        <f t="shared" si="18"/>
        <v>0.88260493283878561</v>
      </c>
      <c r="AP21" s="291" t="str">
        <f t="shared" si="18"/>
        <v>-</v>
      </c>
      <c r="AQ21" s="292">
        <f t="shared" si="18"/>
        <v>0.32071450928627626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DD/iRFmsuirgGqAe9maGqbh0j+NdUxu5pv19jc4NPagm4VSqm5X6JrrFFy97xK66wHWBhjn4FTw8uox2symmvg==" saltValue="xa5a0bCqaZBPBZW7fh3os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COLLADO VILLALBA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0.6875</v>
      </c>
      <c r="F10" s="348">
        <f>IF(ISNUMBER((Datos!K10-Datos!U10)/Datos!U10),(Datos!K10-Datos!U10)/Datos!U10," - ")</f>
        <v>0.13636363636363635</v>
      </c>
      <c r="G10" s="349">
        <f>IF(ISNUMBER((Datos!L10-Datos!V10)/Datos!V10),(Datos!L10-Datos!V10)/Datos!V10," - ")</f>
        <v>2.7777777777777776E-2</v>
      </c>
      <c r="H10" s="230">
        <f>IF(ISNUMBER((Datos!M10-Datos!W10)/Datos!W10),(Datos!M10-Datos!W10)/Datos!W10," - ")</f>
        <v>0.77777777777777779</v>
      </c>
      <c r="I10" s="350">
        <f>IF(ISNUMBER((Tasas!C10-Datos!BE10)/Datos!BE10),(Tasas!C10-Datos!BE10)/Datos!BE10," - ")</f>
        <v>-9.5555555555555616E-2</v>
      </c>
      <c r="J10" s="349">
        <f>IF(ISNUMBER((Tasas!D10-Datos!BF10)/Datos!BF10),(Tasas!D10-Datos!BF10)/Datos!BF10," - ")</f>
        <v>0.56444444444444442</v>
      </c>
      <c r="K10" s="351">
        <f>IF(ISNUMBER((Tasas!E10-Datos!BG10)/Datos!BG10),(Tasas!E10-Datos!BG10)/Datos!BG10," - ")</f>
        <v>-5.9310344827586167E-2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0.19444444444444445</v>
      </c>
      <c r="I12" s="350">
        <f>IF(ISNUMBER((Tasas!C12-Datos!BE12)/Datos!BE12),(Tasas!C12-Datos!BE12)/Datos!BE12," - ")</f>
        <v>2.2226285060643319E-2</v>
      </c>
      <c r="J12" s="349">
        <f>IF(ISNUMBER((Tasas!D12-Datos!BF12)/Datos!BF12),(Tasas!D12-Datos!BF12)/Datos!BF12," - ")</f>
        <v>-0.80935225694599766</v>
      </c>
      <c r="K12" s="351">
        <f>IF(ISNUMBER((Tasas!E12-Datos!BG12)/Datos!BG12),(Tasas!E12-Datos!BG12)/Datos!BG12," - ")</f>
        <v>3.6388813038625636E-2</v>
      </c>
      <c r="M12" t="e">
        <f>IF(Monitorios="SI",Datos!CE12,0)</f>
        <v>#REF!</v>
      </c>
      <c r="N12" t="e">
        <f>IF(Monitorios="SI",Datos!CF12,0)</f>
        <v>#REF!</v>
      </c>
      <c r="O12" t="e">
        <f>IF(Monitorios="SI",Datos!CG12,0)</f>
        <v>#REF!</v>
      </c>
      <c r="P12" t="e">
        <f>IF(Monitorios="SI",Datos!CH12,0)</f>
        <v>#REF!</v>
      </c>
      <c r="Q12">
        <f>IF(J_V="SI",0,Datos!AG12)</f>
        <v>137</v>
      </c>
      <c r="R12">
        <f>IF(J_V="SI",0,Datos!AH12)</f>
        <v>287</v>
      </c>
      <c r="S12">
        <f>IF(J_V="SI",0,Datos!AI12)</f>
        <v>291</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0.20867208672086721</v>
      </c>
      <c r="I13" s="357">
        <f>IF(ISNUMBER((Tasas!C13-Datos!BE13)/Datos!BE13),(Tasas!C13-Datos!BE13)/Datos!BE13," - ")</f>
        <v>2.1877536297231617E-2</v>
      </c>
      <c r="J13" s="355">
        <f>IF(ISNUMBER((Tasas!D13-Datos!BF13)/Datos!BF13),(Tasas!D13-Datos!BF13)/Datos!BF13," - ")</f>
        <v>-0.80308799435499767</v>
      </c>
      <c r="K13" s="358">
        <f>IF(ISNUMBER((Tasas!E13-Datos!BG13)/Datos!BG13),(Tasas!E13-Datos!BG13)/Datos!BG13," - ")</f>
        <v>3.601599301262999E-2</v>
      </c>
      <c r="M13" t="e">
        <f>IF(Monitorios="SI",Datos!CE13,0)</f>
        <v>#REF!</v>
      </c>
      <c r="N13" t="e">
        <f>IF(Monitorios="SI",Datos!CF13,0)</f>
        <v>#REF!</v>
      </c>
      <c r="O13" t="e">
        <f>IF(Monitorios="SI",Datos!CG13,0)</f>
        <v>#REF!</v>
      </c>
      <c r="P13" t="e">
        <f>IF(Monitorios="SI",Datos!CH13,0)</f>
        <v>#REF!</v>
      </c>
      <c r="Q13">
        <f>IF(J_V="SI",0,Datos!AG13)</f>
        <v>137</v>
      </c>
      <c r="R13">
        <f>IF(J_V="SI",0,Datos!AH13)</f>
        <v>287</v>
      </c>
      <c r="S13">
        <f>IF(J_V="SI",0,Datos!AI13)</f>
        <v>291</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-5.3629469122426866E-2</v>
      </c>
      <c r="E16" s="348">
        <f>IF(ISNUMBER(
   IF(D_I="SI",(Datos!J16-Datos!T16)/Datos!T16,(Datos!J16+Datos!AD16-(Datos!T16+Datos!AL16))/(Datos!T16+Datos!AL16))
     ),IF(D_I="SI",(Datos!J16-Datos!T16)/Datos!T16,(Datos!J16+Datos!AD16-(Datos!T16+Datos!AL16))/(Datos!T16+Datos!AL16))," - ")</f>
        <v>5.3724053724053727E-2</v>
      </c>
      <c r="F16" s="348">
        <f>IF(ISNUMBER(
   IF(D_I="SI",(Datos!K16-Datos!U16)/Datos!U16,(Datos!K16+Datos!AE16-(Datos!U16+Datos!AM16))/(Datos!U16+Datos!AM16))
     ),IF(D_I="SI",(Datos!K16-Datos!U16)/Datos!U16,(Datos!K16+Datos!AE16-(Datos!U16+Datos!AM16))/(Datos!U16+Datos!AM16))," - ")</f>
        <v>-3.5794183445190156E-2</v>
      </c>
      <c r="G16" s="349">
        <f>IF(ISNUMBER(
   IF(D_I="SI",(Datos!L16-Datos!V16)/Datos!V16,(Datos!L16+Datos!AF16-(Datos!V16+Datos!AN16))/(Datos!V16+Datos!AN16))
     ),IF(D_I="SI",(Datos!L16-Datos!V16)/Datos!V16,(Datos!L16+Datos!AF16-(Datos!V16+Datos!AN16))/(Datos!V16+Datos!AN16))," - ")</f>
        <v>-2.0737327188940093E-2</v>
      </c>
      <c r="H16" s="230">
        <f>IF(ISNUMBER((Datos!M16-Datos!W16)/Datos!W16),(Datos!M16-Datos!W16)/Datos!W16," - ")</f>
        <v>9.2233009708737865E-2</v>
      </c>
      <c r="I16" s="350">
        <f>IF(ISNUMBER((Tasas!C16-Datos!BE16)/Datos!BE16),(Tasas!C16-Datos!BE16)/Datos!BE16," - ")</f>
        <v>1.5615811476899742E-2</v>
      </c>
      <c r="J16" s="349">
        <f>IF(ISNUMBER((Tasas!D16-Datos!BF16)/Datos!BF16),(Tasas!D16-Datos!BF16)/Datos!BF16," - ")</f>
        <v>0.13277994278377228</v>
      </c>
      <c r="K16" s="351">
        <f>IF(ISNUMBER((Tasas!E16-Datos!BG16)/Datos!BG16),(Tasas!E16-Datos!BG16)/Datos!BG16," - ")</f>
        <v>3.3848471367950661E-2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3.7344398340248962E-2</v>
      </c>
      <c r="F17" s="348">
        <f>IF(ISNUMBER(
   IF(D_I="SI",(Datos!K17-Datos!U17)/Datos!U17,(Datos!K17+Datos!AE17-(Datos!U17+Datos!AM17))/(Datos!U17+Datos!AM17))
     ),IF(D_I="SI",(Datos!K17-Datos!U17)/Datos!U17,(Datos!K17+Datos!AE17-(Datos!U17+Datos!AM17))/(Datos!U17+Datos!AM17))," - ")</f>
        <v>7.9166666666666663E-2</v>
      </c>
      <c r="G17" s="349">
        <f>IF(ISNUMBER(
   IF(D_I="SI",(Datos!L17-Datos!V17)/Datos!V17,(Datos!L17+Datos!AF17-(Datos!V17+Datos!AN17))/(Datos!V17+Datos!AN17))
     ),IF(D_I="SI",(Datos!L17-Datos!V17)/Datos!V17,(Datos!L17+Datos!AF17-(Datos!V17+Datos!AN17))/(Datos!V17+Datos!AN17))," - ")</f>
        <v>0.39215686274509803</v>
      </c>
      <c r="H17" s="230">
        <f>IF(ISNUMBER((Datos!M17-Datos!W17)/Datos!W17),(Datos!M17-Datos!W17)/Datos!W17," - ")</f>
        <v>-0.23076923076923078</v>
      </c>
      <c r="I17" s="350">
        <f>IF(ISNUMBER((Tasas!C17-Datos!BE17)/Datos!BE17),(Tasas!C17-Datos!BE17)/Datos!BE17," - ")</f>
        <v>0.29002952532364301</v>
      </c>
      <c r="J17" s="349">
        <f>IF(ISNUMBER((Tasas!D17-Datos!BF17)/Datos!BF17),(Tasas!D17-Datos!BF17)/Datos!BF17," - ")</f>
        <v>-0.28719928719928722</v>
      </c>
      <c r="K17" s="351">
        <f>IF(ISNUMBER((Tasas!E17-Datos!BG17)/Datos!BG17),(Tasas!E17-Datos!BG17)/Datos!BG17," - ")</f>
        <v>5.0829916809298242E-2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-3.6392405063291139E-2</v>
      </c>
      <c r="E18" s="354">
        <f>IF(ISNUMBER(
   IF(D_I="SI",(Datos!J18-Datos!T18)/Datos!T18,(Datos!J18+Datos!AD18-(Datos!T18+Datos!AL18))/(Datos!T18+Datos!AL18))
     ),IF(D_I="SI",(Datos!J18-Datos!T18)/Datos!T18,(Datos!J18+Datos!AD18-(Datos!T18+Datos!AL18))/(Datos!T18+Datos!AL18))," - ")</f>
        <v>5.1623203831825441E-2</v>
      </c>
      <c r="F18" s="354">
        <f>IF(ISNUMBER(
   IF(D_I="SI",(Datos!K18-Datos!U18)/Datos!U18,(Datos!K18+Datos!AE18-(Datos!U18+Datos!AM18))/(Datos!U18+Datos!AM18))
     ),IF(D_I="SI",(Datos!K18-Datos!U18)/Datos!U18,(Datos!K18+Datos!AE18-(Datos!U18+Datos!AM18))/(Datos!U18+Datos!AM18))," - ")</f>
        <v>-2.2189349112426034E-2</v>
      </c>
      <c r="G18" s="355">
        <f>IF(ISNUMBER(
   IF(D_I="SI",(Datos!L18-Datos!V18)/Datos!V18,(Datos!L18+Datos!AF18-(Datos!V18+Datos!AN18))/(Datos!V18+Datos!AN18))
     ),IF(D_I="SI",(Datos!L18-Datos!V18)/Datos!V18,(Datos!L18+Datos!AF18-(Datos!V18+Datos!AN18))/(Datos!V18+Datos!AN18))," - ")</f>
        <v>-8.9535534415221048E-3</v>
      </c>
      <c r="H18" s="356">
        <f>IF(ISNUMBER((Datos!M18-Datos!W18)/Datos!W18),(Datos!M18-Datos!W18)/Datos!W18," - ")</f>
        <v>5.6034482758620691E-2</v>
      </c>
      <c r="I18" s="357">
        <f>IF(ISNUMBER((Tasas!C18-Datos!BE18)/Datos!BE18),(Tasas!C18-Datos!BE18)/Datos!BE18," - ")</f>
        <v>1.3536154120319244E-2</v>
      </c>
      <c r="J18" s="355">
        <f>IF(ISNUMBER((Tasas!D18-Datos!BF18)/Datos!BF18),(Tasas!D18-Datos!BF18)/Datos!BF18," - ")</f>
        <v>7.9998956648755795E-2</v>
      </c>
      <c r="K18" s="358">
        <f>IF(ISNUMBER((Tasas!E18-Datos!BG18)/Datos!BG18),(Tasas!E18-Datos!BG18)/Datos!BG18," - ")</f>
        <v>3.0278426225566358E-2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0.10537583254043768</v>
      </c>
      <c r="E19" s="363">
        <f>IF(ISNUMBER(
   IF(J_V="SI",(Datos!J19-Datos!T19)/Datos!T19,(Datos!J19+Datos!Z19-(Datos!T19+Datos!AH19))/(Datos!T19+Datos!AH19))
     ),IF(J_V="SI",(Datos!J19-Datos!T19)/Datos!T19,(Datos!J19+Datos!Z19-(Datos!T19+Datos!AH19))/(Datos!T19+Datos!AH19))," - ")</f>
        <v>0.44276556776556775</v>
      </c>
      <c r="F19" s="363">
        <f>IF(ISNUMBER(
   IF(J_V="SI",(Datos!K19-Datos!U19)/Datos!U19,(Datos!K19+Datos!AA19-(Datos!U19+Datos!AI19))/(Datos!U19+Datos!AI19))
     ),IF(J_V="SI",(Datos!K19-Datos!U19)/Datos!U19,(Datos!K19+Datos!AA19-(Datos!U19+Datos!AI19))/(Datos!U19+Datos!AI19))," - ")</f>
        <v>0.14155734236140499</v>
      </c>
      <c r="G19" s="364">
        <f>IF(ISNUMBER(
   IF(J_V="SI",(Datos!L19-Datos!V19)/Datos!V19,(Datos!L19+Datos!AB19-(Datos!V19+Datos!AJ19))/(Datos!V19+Datos!AJ19))
     ),IF(J_V="SI",(Datos!L19-Datos!V19)/Datos!V19,(Datos!L19+Datos!AB19-(Datos!V19+Datos!AJ19))/(Datos!V19+Datos!AJ19))," - ")</f>
        <v>0.22577854671280276</v>
      </c>
      <c r="H19" s="365">
        <f>IF(ISNUMBER((Datos!M19-Datos!W19)/Datos!W19),(Datos!M19-Datos!W19)/Datos!W19," - ")</f>
        <v>0.14975041597337771</v>
      </c>
      <c r="I19" s="362">
        <f>IF(ISNUMBER((Tasas!C19-Datos!BE19)/Datos!BE19),(Tasas!C19-Datos!BE19)/Datos!BE19," - ")</f>
        <v>7.3777462792345788E-2</v>
      </c>
      <c r="J19" s="363">
        <f>IF(ISNUMBER((Tasas!D19-Datos!BF19)/Datos!BF19),(Tasas!D19-Datos!BF19)/Datos!BF19," - ")</f>
        <v>-0.70078426180481457</v>
      </c>
      <c r="K19" s="364">
        <f>IF(ISNUMBER((Tasas!E19-Datos!BG19)/Datos!BG19),(Tasas!E19-Datos!BG19)/Datos!BG19," - ")</f>
        <v>6.9351767650535745E-2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0.34761694213933514</v>
      </c>
      <c r="E21" s="278">
        <f t="shared" si="1"/>
        <v>0.32005079640056805</v>
      </c>
      <c r="F21" s="278">
        <f t="shared" si="1"/>
        <v>8.252423279330913E-2</v>
      </c>
      <c r="G21" s="279">
        <f t="shared" si="1"/>
        <v>0.19748102420298402</v>
      </c>
      <c r="H21" s="285">
        <f t="shared" si="1"/>
        <v>0.33169699305978001</v>
      </c>
      <c r="I21" s="277">
        <f t="shared" si="1"/>
        <v>0.12860883953261612</v>
      </c>
      <c r="J21" s="278">
        <f t="shared" si="1"/>
        <v>0.55048034016565239</v>
      </c>
      <c r="K21" s="279">
        <f t="shared" si="1"/>
        <v>4.013064205110338E-2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2j1ja3XXibf4fMvh/XKRSoItzgAYwg8gP/FErAJyM6xhzMoRlM0195d8TAge713f4bXCUy0fLaVxeA4bOTmcQ==" saltValue="Zi4qc47rNHaVmIrtzW3qV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